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ssica.hart\Desktop\"/>
    </mc:Choice>
  </mc:AlternateContent>
  <xr:revisionPtr revIDLastSave="0" documentId="13_ncr:1_{E8FCAD37-61F6-493C-9F18-00A5B85FA61C}" xr6:coauthVersionLast="47" xr6:coauthVersionMax="47" xr10:uidLastSave="{00000000-0000-0000-0000-000000000000}"/>
  <workbookProtection workbookAlgorithmName="SHA-512" workbookHashValue="ykiSR76f0rulzG9wWwh038oD9cvNGpdlwXvHsHvZs/wshGlrcj7LcKVl7MZeXJ1I9PbDW/+54iqtCKu33eZ/Cg==" workbookSaltValue="L46R1VOa9K34O4tGOBpJMg==" workbookSpinCount="100000" lockStructure="1"/>
  <bookViews>
    <workbookView xWindow="-120" yWindow="-120" windowWidth="29040" windowHeight="15840" firstSheet="1" activeTab="1" xr2:uid="{00000000-000D-0000-FFFF-FFFF00000000}"/>
  </bookViews>
  <sheets>
    <sheet name="rates" sheetId="2" state="hidden" r:id="rId1"/>
    <sheet name="Tax Calculator" sheetId="3" r:id="rId2"/>
  </sheets>
  <definedNames>
    <definedName name="Abate">rates!$B$4</definedName>
    <definedName name="Additional">rates!$B$18</definedName>
    <definedName name="AR">rates!$B$9</definedName>
    <definedName name="BR">rates!$B$7</definedName>
    <definedName name="BRB">rates!$B$5</definedName>
    <definedName name="CGTalce">rates!$B$27</definedName>
    <definedName name="CGTrate">rates!$B$28</definedName>
    <definedName name="CGTrateHR">rates!$B$29</definedName>
    <definedName name="CGTrateres">rates!$B$30</definedName>
    <definedName name="CGTrateresHR">rates!$B$31</definedName>
    <definedName name="class2spt">rates!$B$26</definedName>
    <definedName name="class2weekly">rates!$B$25</definedName>
    <definedName name="CT_full">rates!$B$34</definedName>
    <definedName name="CT_marginal">rates!$B$33</definedName>
    <definedName name="CT_smallco">rates!$B$32</definedName>
    <definedName name="Ctfull">rates!$B$34</definedName>
    <definedName name="Ctmarginal">rates!$B$33</definedName>
    <definedName name="Ctsmallco">rates!$B$34</definedName>
    <definedName name="Divallce">rates!$B$10</definedName>
    <definedName name="DivAR">rates!$B$13</definedName>
    <definedName name="DivBR">rates!$B$11</definedName>
    <definedName name="DivHR">rates!$B$12</definedName>
    <definedName name="DivrateAR">rates!$B$11</definedName>
    <definedName name="DivrateHR">rates!$B$10</definedName>
    <definedName name="Ees">rates!$B$17</definedName>
    <definedName name="empal">rates!$B$35</definedName>
    <definedName name="Ers">rates!$B$19</definedName>
    <definedName name="ErsThold">rates!$B$20</definedName>
    <definedName name="HR">rates!$B$8</definedName>
    <definedName name="HRB">rates!$B$6</definedName>
    <definedName name="Ivexcess">rates!$B$24</definedName>
    <definedName name="Ivlower">rates!$B$21</definedName>
    <definedName name="Ivrate">rates!$B$23</definedName>
    <definedName name="Ivupper">rates!$B$22</definedName>
    <definedName name="LEL">rates!$B$14</definedName>
    <definedName name="PA">rates!$B$3</definedName>
    <definedName name="savingsallcebr">rates!$B$37</definedName>
    <definedName name="savingsallcehr">rates!$B$38</definedName>
    <definedName name="savingsallcestarting">rates!$B$36</definedName>
    <definedName name="Thrd">rates!$B$15</definedName>
    <definedName name="UEL">rates!$B$16</definedName>
    <definedName name="visible">'Tax Calculator'!$A$1:$F$70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16" i="2"/>
  <c r="C15" i="2"/>
  <c r="C14" i="2"/>
  <c r="B6" i="2"/>
  <c r="E5" i="2"/>
  <c r="B367" i="2" l="1"/>
  <c r="B366" i="2"/>
  <c r="A360" i="2"/>
  <c r="A359" i="2"/>
  <c r="A355" i="2"/>
  <c r="A354" i="2"/>
  <c r="B349" i="2"/>
  <c r="B350" i="2" s="1"/>
  <c r="B348" i="2"/>
  <c r="B341" i="2"/>
  <c r="B339" i="2"/>
  <c r="B338" i="2"/>
  <c r="A332" i="2"/>
  <c r="A331" i="2"/>
  <c r="B314" i="2"/>
  <c r="A309" i="2"/>
  <c r="A298" i="2"/>
  <c r="A297" i="2"/>
  <c r="A267" i="2"/>
  <c r="A266" i="2"/>
  <c r="A265" i="2"/>
  <c r="B247" i="2"/>
  <c r="B248" i="2" s="1"/>
  <c r="B246" i="2"/>
  <c r="B230" i="2"/>
  <c r="A221" i="2"/>
  <c r="A220" i="2"/>
  <c r="A219" i="2"/>
  <c r="B202" i="2"/>
  <c r="B190" i="2"/>
  <c r="A180" i="2"/>
  <c r="A179" i="2"/>
  <c r="A178" i="2"/>
  <c r="B160" i="2"/>
  <c r="B159" i="2"/>
  <c r="B161" i="2" s="1"/>
  <c r="A134" i="2"/>
  <c r="A133" i="2"/>
  <c r="A132" i="2"/>
  <c r="B110" i="2"/>
  <c r="B93" i="2"/>
  <c r="B92" i="2"/>
  <c r="B94" i="2" s="1"/>
  <c r="B140" i="2" s="1"/>
  <c r="B86" i="2"/>
  <c r="B188" i="2" s="1"/>
  <c r="B193" i="2" s="1"/>
  <c r="B84" i="2"/>
  <c r="B143" i="2" s="1"/>
  <c r="B83" i="2"/>
  <c r="B82" i="2"/>
  <c r="B287" i="2" l="1"/>
  <c r="B227" i="2"/>
  <c r="B372" i="2"/>
  <c r="B370" i="2"/>
  <c r="B374" i="2" s="1"/>
  <c r="B77" i="2" s="1"/>
  <c r="B305" i="2" l="1"/>
  <c r="B309" i="2" s="1"/>
  <c r="B70" i="2" s="1"/>
  <c r="B293" i="2"/>
  <c r="B298" i="2" s="1"/>
  <c r="B304" i="2"/>
  <c r="B307" i="2" s="1"/>
  <c r="B292" i="2"/>
  <c r="B297" i="2" s="1"/>
  <c r="B300" i="2" s="1"/>
  <c r="B69" i="2" s="1"/>
  <c r="B291" i="2"/>
  <c r="B295" i="2" l="1"/>
  <c r="C16" i="3" l="1"/>
  <c r="C42" i="3" s="1"/>
  <c r="E42" i="3" s="1"/>
  <c r="B57" i="2"/>
  <c r="B55" i="2"/>
  <c r="B53" i="2"/>
  <c r="B52" i="2"/>
  <c r="B50" i="2"/>
  <c r="C40" i="3"/>
  <c r="E54" i="3"/>
  <c r="F52" i="3"/>
  <c r="E62" i="3"/>
  <c r="A53" i="3" l="1"/>
  <c r="E52" i="3"/>
  <c r="E56" i="3" s="1"/>
  <c r="B54" i="2"/>
  <c r="B319" i="2" l="1"/>
  <c r="B85" i="2"/>
  <c r="B340" i="2"/>
  <c r="B342" i="2" s="1"/>
  <c r="B313" i="2"/>
  <c r="B315" i="2" s="1"/>
  <c r="B72" i="2" s="1"/>
  <c r="E66" i="3"/>
  <c r="B88" i="2" l="1"/>
  <c r="B228" i="2"/>
  <c r="B229" i="2" s="1"/>
  <c r="B231" i="2" s="1"/>
  <c r="B141" i="2"/>
  <c r="B142" i="2" s="1"/>
  <c r="B144" i="2" s="1"/>
  <c r="B324" i="2"/>
  <c r="B331" i="2" s="1"/>
  <c r="B323" i="2"/>
  <c r="B325" i="2"/>
  <c r="B332" i="2" s="1"/>
  <c r="B334" i="2" s="1"/>
  <c r="B73" i="2" s="1"/>
  <c r="E68" i="3" s="1"/>
  <c r="B327" i="2" l="1"/>
  <c r="B101" i="2"/>
  <c r="B109" i="2"/>
  <c r="B96" i="2"/>
  <c r="B97" i="2" s="1"/>
  <c r="B189" i="2" l="1"/>
  <c r="B75" i="2"/>
  <c r="B343" i="2"/>
  <c r="B344" i="2" s="1"/>
  <c r="B346" i="2" s="1"/>
  <c r="B354" i="2" s="1"/>
  <c r="B112" i="2"/>
  <c r="B103" i="2"/>
  <c r="B104" i="2"/>
  <c r="B105" i="2"/>
  <c r="B106" i="2" l="1"/>
  <c r="B187" i="2"/>
  <c r="B113" i="2"/>
  <c r="B114" i="2" s="1"/>
  <c r="B359" i="2"/>
  <c r="B355" i="2"/>
  <c r="B360" i="2" s="1"/>
  <c r="B199" i="2"/>
  <c r="B194" i="2"/>
  <c r="B200" i="2" s="1"/>
  <c r="B232" i="2" l="1"/>
  <c r="B233" i="2" s="1"/>
  <c r="B145" i="2"/>
  <c r="B146" i="2" s="1"/>
  <c r="B76" i="2" s="1"/>
  <c r="B115" i="2"/>
  <c r="B117" i="2" s="1"/>
  <c r="B362" i="2"/>
  <c r="B74" i="2" s="1"/>
  <c r="B123" i="2" l="1"/>
  <c r="B124" i="2" s="1"/>
  <c r="B125" i="2" s="1"/>
  <c r="B198" i="2"/>
  <c r="B201" i="2" s="1"/>
  <c r="B203" i="2" s="1"/>
  <c r="B205" i="2" s="1"/>
  <c r="B210" i="2" s="1"/>
  <c r="B211" i="2" s="1"/>
  <c r="B240" i="2" l="1"/>
  <c r="B219" i="2"/>
  <c r="B239" i="2"/>
  <c r="B250" i="2" s="1"/>
  <c r="B212" i="2"/>
  <c r="B213" i="2" s="1"/>
  <c r="B221" i="2" s="1"/>
  <c r="B154" i="2"/>
  <c r="B133" i="2"/>
  <c r="B153" i="2"/>
  <c r="B132" i="2"/>
  <c r="B152" i="2"/>
  <c r="B163" i="2" s="1"/>
  <c r="B126" i="2"/>
  <c r="B134" i="2" s="1"/>
  <c r="B128" i="2" l="1"/>
  <c r="B164" i="2"/>
  <c r="B165" i="2"/>
  <c r="B166" i="2"/>
  <c r="B168" i="2" s="1"/>
  <c r="B171" i="2" s="1"/>
  <c r="B251" i="2"/>
  <c r="B136" i="2"/>
  <c r="B274" i="2" s="1"/>
  <c r="B241" i="2"/>
  <c r="B220" i="2"/>
  <c r="B223" i="2"/>
  <c r="B278" i="2" s="1"/>
  <c r="B215" i="2"/>
  <c r="B172" i="2" l="1"/>
  <c r="B178" i="2" s="1"/>
  <c r="B173" i="2"/>
  <c r="B174" i="2"/>
  <c r="B180" i="2" s="1"/>
  <c r="B179" i="2"/>
  <c r="B252" i="2"/>
  <c r="B253" i="2" l="1"/>
  <c r="B255" i="2"/>
  <c r="B258" i="2" s="1"/>
  <c r="B182" i="2"/>
  <c r="B275" i="2" s="1"/>
  <c r="B276" i="2" s="1"/>
  <c r="B259" i="2" l="1"/>
  <c r="B265" i="2" s="1"/>
  <c r="B260" i="2"/>
  <c r="B266" i="2" s="1"/>
  <c r="B261" i="2"/>
  <c r="B267" i="2" s="1"/>
  <c r="B269" i="2" l="1"/>
  <c r="B279" i="2" s="1"/>
  <c r="B280" i="2" s="1"/>
  <c r="B282" i="2" l="1"/>
  <c r="B66" i="2" s="1"/>
  <c r="E61" i="3" s="1"/>
  <c r="E64" i="3" s="1"/>
  <c r="E70" i="3" s="1"/>
  <c r="B281" i="2"/>
  <c r="B283" i="2"/>
  <c r="B6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Garbett</author>
  </authors>
  <commentList>
    <comment ref="A364" authorId="0" shapeId="0" xr:uid="{F55D596D-6CFE-490E-B051-5CD124E0F552}">
      <text>
        <r>
          <rPr>
            <b/>
            <sz val="9"/>
            <color indexed="81"/>
            <rFont val="Tahoma"/>
            <family val="2"/>
          </rPr>
          <t>Jessica Garbett:</t>
        </r>
        <r>
          <rPr>
            <sz val="9"/>
            <color indexed="81"/>
            <rFont val="Tahoma"/>
            <family val="2"/>
          </rPr>
          <t xml:space="preserve">
Section added 3.23</t>
        </r>
      </text>
    </comment>
  </commentList>
</comments>
</file>

<file path=xl/sharedStrings.xml><?xml version="1.0" encoding="utf-8"?>
<sst xmlns="http://schemas.openxmlformats.org/spreadsheetml/2006/main" count="337" uniqueCount="250">
  <si>
    <t>WHITEFIELD COMMON RATES 24-25</t>
  </si>
  <si>
    <t>2024/25 Tax Rates</t>
  </si>
  <si>
    <t>23.2.15 Revised to 15-16 JG</t>
  </si>
  <si>
    <t>PA</t>
  </si>
  <si>
    <t xml:space="preserve">17.2.16 Revised to 16-17 </t>
  </si>
  <si>
    <t>Abate</t>
  </si>
  <si>
    <t>23.2.16 CE update to include savings allce</t>
  </si>
  <si>
    <t>BRB</t>
  </si>
  <si>
    <t>BRB plus PA</t>
  </si>
  <si>
    <t xml:space="preserve">16.3.15 CE update for error on dividends </t>
  </si>
  <si>
    <t>HRB</t>
  </si>
  <si>
    <t>£125,140 less BRB</t>
  </si>
  <si>
    <t>24.3.16 update post buget inc residential CGT rates</t>
  </si>
  <si>
    <t>BR</t>
  </si>
  <si>
    <t>24.3.16 CE update error on dividend</t>
  </si>
  <si>
    <t>HR</t>
  </si>
  <si>
    <t>11.11.16CE error on use of Savings Rate in BRB</t>
  </si>
  <si>
    <t>AR</t>
  </si>
  <si>
    <t>15.2.17 error on extending HR for BRB adjustments</t>
  </si>
  <si>
    <t>Divallce</t>
  </si>
  <si>
    <t>20.2.17 update 17-18</t>
  </si>
  <si>
    <t>DivBR</t>
  </si>
  <si>
    <t>10.3.17 post budget tax rate changes (CGT threshold only change)</t>
  </si>
  <si>
    <t>DivHR</t>
  </si>
  <si>
    <t>9.2.18 revision for PA allocation re dividends</t>
  </si>
  <si>
    <t>DivAR</t>
  </si>
  <si>
    <t>rounded</t>
  </si>
  <si>
    <t>16.2.18 update 18-19</t>
  </si>
  <si>
    <t>LEL</t>
  </si>
  <si>
    <t>Lower Earnings Limit</t>
  </si>
  <si>
    <t>15.3.18 further revsion for PA allocation</t>
  </si>
  <si>
    <t>Thrd</t>
  </si>
  <si>
    <t>Primary Thrshold - starting point for Ees</t>
  </si>
  <si>
    <t>16.3.18 revise CGT rates</t>
  </si>
  <si>
    <t>UEL</t>
  </si>
  <si>
    <t>Upper Earnings Limit</t>
  </si>
  <si>
    <t>26.2.19 update 19-20</t>
  </si>
  <si>
    <t>Ees</t>
  </si>
  <si>
    <t>31.3.20 update all 2020-21</t>
  </si>
  <si>
    <t>Additional</t>
  </si>
  <si>
    <t>Employees over UEL</t>
  </si>
  <si>
    <t>5.3.21 update 2021-22</t>
  </si>
  <si>
    <t>Ers</t>
  </si>
  <si>
    <t>15.3.22 update 2022-23</t>
  </si>
  <si>
    <t>ErsThold</t>
  </si>
  <si>
    <t>Secondary Threshold - starting point for Ers</t>
  </si>
  <si>
    <t>23.3.22 revised for NI changes in Spring Statement</t>
  </si>
  <si>
    <t>Ivlower</t>
  </si>
  <si>
    <t>Note re Primary threshold</t>
  </si>
  <si>
    <t>Ivupper</t>
  </si>
  <si>
    <t>- To 5.7.22 £9,880 pa £190/w</t>
  </si>
  <si>
    <t>Ivrate</t>
  </si>
  <si>
    <t>- From 5.7.22 £12570 pa  £242/w</t>
  </si>
  <si>
    <t>Ivexcess</t>
  </si>
  <si>
    <t>- Blended for year £11,908 pa £229/w</t>
  </si>
  <si>
    <t>class2weekly</t>
  </si>
  <si>
    <t>2024/25 onward no class 2 unless voluntary for profits below £6,725 at £3.45/week</t>
  </si>
  <si>
    <t>- note £242 /w not £241.73 - Statutory Instrument prescribes rounded figures</t>
  </si>
  <si>
    <t>class2spt</t>
  </si>
  <si>
    <t>2.3.23 revised for further NI changes in year</t>
  </si>
  <si>
    <t>CGTalce</t>
  </si>
  <si>
    <t>2.3.23 update to 2023-24</t>
  </si>
  <si>
    <t>CGTrate</t>
  </si>
  <si>
    <t>8.3.24 update for in year changes in NIC rate from January 2024</t>
  </si>
  <si>
    <t>CGTrateHR</t>
  </si>
  <si>
    <t>8.3.24 update to 2024-25</t>
  </si>
  <si>
    <t>CGTrateres</t>
  </si>
  <si>
    <t>CGTrateresHR</t>
  </si>
  <si>
    <t>CT smallco</t>
  </si>
  <si>
    <t>Small company CT rate on £50,000</t>
  </si>
  <si>
    <t>CT marginal</t>
  </si>
  <si>
    <t>Marginal rate  up to £250,000</t>
  </si>
  <si>
    <t>CT full</t>
  </si>
  <si>
    <t>Full rate</t>
  </si>
  <si>
    <t>empal</t>
  </si>
  <si>
    <t>Employment allowance</t>
  </si>
  <si>
    <t>savingsallcestarting</t>
  </si>
  <si>
    <t>savingsallcebr</t>
  </si>
  <si>
    <t>savingsallcehr</t>
  </si>
  <si>
    <t>Bold = not yet updated</t>
  </si>
  <si>
    <t>NB all rates are England &amp; Wales, adjusted Scottish rates not supported</t>
  </si>
  <si>
    <t>Whitefield Common Engine update (02/03/2023 - don't change unless updating the rows below - JG only )</t>
  </si>
  <si>
    <t>Data in (all as positives)</t>
  </si>
  <si>
    <t xml:space="preserve">Employment </t>
  </si>
  <si>
    <t>Employment tax paid (not used)</t>
  </si>
  <si>
    <t>Other taxable income</t>
  </si>
  <si>
    <t>Gross savings income</t>
  </si>
  <si>
    <t>Self Employment</t>
  </si>
  <si>
    <t>Gross Dividend</t>
  </si>
  <si>
    <t>Capital Gains (no ER or residential rate coded)</t>
  </si>
  <si>
    <t>BR adj (+ to inc - to restrict)</t>
  </si>
  <si>
    <t>CT profits</t>
  </si>
  <si>
    <t>PA adjustments   (+ to inc - to restrict)</t>
  </si>
  <si>
    <r>
      <t xml:space="preserve">Associated Companies </t>
    </r>
    <r>
      <rPr>
        <sz val="8"/>
        <rFont val="Calibri"/>
        <family val="2"/>
        <scheme val="minor"/>
      </rPr>
      <t>(1 if single company, 2 if two companies)</t>
    </r>
  </si>
  <si>
    <t>Results out</t>
  </si>
  <si>
    <r>
      <t xml:space="preserve">Tax on non dividend income </t>
    </r>
    <r>
      <rPr>
        <sz val="8"/>
        <rFont val="Calibri"/>
        <family val="2"/>
        <scheme val="minor"/>
      </rPr>
      <t>(nb does not deduct tax paid at source)</t>
    </r>
  </si>
  <si>
    <t>Tax dividends</t>
  </si>
  <si>
    <t>Note ees and ers assume one source</t>
  </si>
  <si>
    <t>EES</t>
  </si>
  <si>
    <t>ERS</t>
  </si>
  <si>
    <t>Note class 4 assumes one source</t>
  </si>
  <si>
    <t>Class 2</t>
  </si>
  <si>
    <t>Class 4</t>
  </si>
  <si>
    <t>CGT (full not ER, not residential)</t>
  </si>
  <si>
    <t>Savings exempted</t>
  </si>
  <si>
    <t>Caclulated Corporation Tax with MSCR</t>
  </si>
  <si>
    <t>Personal Tax</t>
  </si>
  <si>
    <t>Total income</t>
  </si>
  <si>
    <t xml:space="preserve">Adjust PA </t>
  </si>
  <si>
    <t>Basic PA</t>
  </si>
  <si>
    <t>Extension or reduction</t>
  </si>
  <si>
    <t>Adjusted PA</t>
  </si>
  <si>
    <t>Abatement</t>
  </si>
  <si>
    <t>Revised PA</t>
  </si>
  <si>
    <t>Allocate bands for savings allowance</t>
  </si>
  <si>
    <t>Savings allowance</t>
  </si>
  <si>
    <t>Savings income and dividend</t>
  </si>
  <si>
    <t>Starting rate available</t>
  </si>
  <si>
    <t>Tax free interest band</t>
  </si>
  <si>
    <t>Potential tax free savings</t>
  </si>
  <si>
    <t>Taxable Interest</t>
  </si>
  <si>
    <t>Income excl dividend plus taxable interest</t>
  </si>
  <si>
    <t>Normal Allocation (revision added 09.02.18)</t>
  </si>
  <si>
    <t>Allocate Bands</t>
  </si>
  <si>
    <t xml:space="preserve">Total allocated non dividend </t>
  </si>
  <si>
    <t>Tax on non dividend</t>
  </si>
  <si>
    <t>Savings rate used  (needs to come off BRB for dividends)</t>
  </si>
  <si>
    <t>Earned, other and SE</t>
  </si>
  <si>
    <t>PA less earned and other</t>
  </si>
  <si>
    <t>Savings</t>
  </si>
  <si>
    <t>Savings not covered by PA</t>
  </si>
  <si>
    <t>Savings allce used</t>
  </si>
  <si>
    <t>Allocate Bands available for dividends</t>
  </si>
  <si>
    <t>n/a</t>
  </si>
  <si>
    <t>Allocate actual dividends to bands</t>
  </si>
  <si>
    <t>Dividends</t>
  </si>
  <si>
    <t>Allowance</t>
  </si>
  <si>
    <t>Taxable dividend</t>
  </si>
  <si>
    <t>Total allocated dividend</t>
  </si>
  <si>
    <t>Allocate Dividend Allowance</t>
  </si>
  <si>
    <t>Lower of taxable dividend or allowance</t>
  </si>
  <si>
    <t>Tax on dividend</t>
  </si>
  <si>
    <t>Tax on dividends</t>
  </si>
  <si>
    <t>Alternative allowance allocation (added 09.02.18 revised 15.3.18)</t>
  </si>
  <si>
    <t>Total income in HR</t>
  </si>
  <si>
    <t>Dividend Allowance</t>
  </si>
  <si>
    <t>Reallcation amount is dividend less DA up to PA</t>
  </si>
  <si>
    <t>Dividend less DA</t>
  </si>
  <si>
    <t>Restrict to PA</t>
  </si>
  <si>
    <t>But restrict reallocation if non dividend would go into HR</t>
  </si>
  <si>
    <t xml:space="preserve">Non dividend </t>
  </si>
  <si>
    <t>Calculated restriction</t>
  </si>
  <si>
    <t>Non dividend adjusted for PA</t>
  </si>
  <si>
    <t xml:space="preserve">BRB </t>
  </si>
  <si>
    <t>Elelemnt in HR</t>
  </si>
  <si>
    <t>Revised reallocation of PA</t>
  </si>
  <si>
    <t>Comparison</t>
  </si>
  <si>
    <t>Normal</t>
  </si>
  <si>
    <t>Total</t>
  </si>
  <si>
    <t>Revised</t>
  </si>
  <si>
    <t>Final</t>
  </si>
  <si>
    <t>Class I NI</t>
  </si>
  <si>
    <t>Employment income</t>
  </si>
  <si>
    <t>Ees NI</t>
  </si>
  <si>
    <t>Threshold</t>
  </si>
  <si>
    <t>Employees main</t>
  </si>
  <si>
    <t>Employees additional</t>
  </si>
  <si>
    <t>Total assessed to Ees</t>
  </si>
  <si>
    <t>Total ees</t>
  </si>
  <si>
    <t>ERS NI</t>
  </si>
  <si>
    <t>Below threshold</t>
  </si>
  <si>
    <t>Above threshold</t>
  </si>
  <si>
    <t>Total assessed to Ers</t>
  </si>
  <si>
    <t>Class 2 NI</t>
  </si>
  <si>
    <t>Business profits</t>
  </si>
  <si>
    <t>SPT</t>
  </si>
  <si>
    <t>Liability to class 2</t>
  </si>
  <si>
    <t>Class 4 NI</t>
  </si>
  <si>
    <t>Allocation</t>
  </si>
  <si>
    <t>Below</t>
  </si>
  <si>
    <t>Main</t>
  </si>
  <si>
    <t>Class 4 due</t>
  </si>
  <si>
    <t>Total Class 4</t>
  </si>
  <si>
    <t>Capital Gains</t>
  </si>
  <si>
    <t>PA after abatement</t>
  </si>
  <si>
    <t>Total income after PA used</t>
  </si>
  <si>
    <t>Free element of BR</t>
  </si>
  <si>
    <t>Gains</t>
  </si>
  <si>
    <t>Annual Allowance</t>
  </si>
  <si>
    <t>Balance after allowance</t>
  </si>
  <si>
    <t>Allocate to bands</t>
  </si>
  <si>
    <t>CGT due</t>
  </si>
  <si>
    <t>Total CGT</t>
  </si>
  <si>
    <t>Corporation Tax</t>
  </si>
  <si>
    <t>Associated Companies</t>
  </si>
  <si>
    <t>Adjusted thresholds</t>
  </si>
  <si>
    <t>- small co rate</t>
  </si>
  <si>
    <t>- maringal rate</t>
  </si>
  <si>
    <t>in between</t>
  </si>
  <si>
    <t>- full rate</t>
  </si>
  <si>
    <t>CT caclulated</t>
  </si>
  <si>
    <t>YogaTax part of WhitefieldTax</t>
  </si>
  <si>
    <t>Tax Calculator for a Sole Trader Yoga Teacher</t>
  </si>
  <si>
    <t>2024-25 Tax rates (England and Wales)</t>
  </si>
  <si>
    <t>Enter data into grey cells</t>
  </si>
  <si>
    <t>£ gross</t>
  </si>
  <si>
    <t>£tax</t>
  </si>
  <si>
    <t>Profit from Yoga Teaching</t>
  </si>
  <si>
    <t>Business Income</t>
  </si>
  <si>
    <t>£</t>
  </si>
  <si>
    <t>Classes</t>
  </si>
  <si>
    <t>Private</t>
  </si>
  <si>
    <t>Other</t>
  </si>
  <si>
    <t>Total Income</t>
  </si>
  <si>
    <t>Business Expenses</t>
  </si>
  <si>
    <t>venues</t>
  </si>
  <si>
    <t>refreshments during courses / workshops</t>
  </si>
  <si>
    <t>course materials</t>
  </si>
  <si>
    <t>advertising</t>
  </si>
  <si>
    <t>IT and internet</t>
  </si>
  <si>
    <t>phone</t>
  </si>
  <si>
    <t>travel / accommodation (see below)</t>
  </si>
  <si>
    <t>car costs</t>
  </si>
  <si>
    <t>props and consumables</t>
  </si>
  <si>
    <t>insurances</t>
  </si>
  <si>
    <t>performing rights/music</t>
  </si>
  <si>
    <t>journals</t>
  </si>
  <si>
    <t>reference books</t>
  </si>
  <si>
    <t>professional memberships</t>
  </si>
  <si>
    <t>CPD</t>
  </si>
  <si>
    <t>stationery</t>
  </si>
  <si>
    <t>printing (eg business cards)</t>
  </si>
  <si>
    <t>web design and hosting</t>
  </si>
  <si>
    <t>other</t>
  </si>
  <si>
    <t>Total expenses</t>
  </si>
  <si>
    <t xml:space="preserve">Profit </t>
  </si>
  <si>
    <t>Other Income</t>
  </si>
  <si>
    <t>Income from employments</t>
  </si>
  <si>
    <t>Tax deducted on employments</t>
  </si>
  <si>
    <t>Income from savings</t>
  </si>
  <si>
    <t>Income from share dividends</t>
  </si>
  <si>
    <t>Other income, eg rental</t>
  </si>
  <si>
    <t>Tax free allowance</t>
  </si>
  <si>
    <t>Taxable</t>
  </si>
  <si>
    <t>Pension Payments (gross)(you get Higher Rate relief on these)</t>
  </si>
  <si>
    <t>Income Tax</t>
  </si>
  <si>
    <t>Less paid via PAYE</t>
  </si>
  <si>
    <t xml:space="preserve">Class 2 NI </t>
  </si>
  <si>
    <t>Class IV NI</t>
  </si>
  <si>
    <t>Total due under Self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</si>
</sst>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5">
    <font>
      <sz val="12"/>
      <name val="Arial MT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Arial MT"/>
    </font>
    <font>
      <sz val="10"/>
      <name val="Arial MT"/>
    </font>
    <font>
      <u/>
      <sz val="10"/>
      <color theme="10"/>
      <name val="Arial MT"/>
    </font>
    <font>
      <u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trike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39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5" fillId="0" borderId="0" applyNumberFormat="0" applyFill="0" applyBorder="0" applyAlignment="0" applyProtection="0"/>
  </cellStyleXfs>
  <cellXfs count="42">
    <xf numFmtId="39" fontId="0" fillId="0" borderId="0" xfId="0"/>
    <xf numFmtId="165" fontId="2" fillId="0" borderId="0" xfId="1" applyNumberFormat="1" applyFont="1"/>
    <xf numFmtId="39" fontId="2" fillId="0" borderId="0" xfId="0" applyFont="1"/>
    <xf numFmtId="166" fontId="2" fillId="0" borderId="0" xfId="2" applyNumberFormat="1" applyFont="1"/>
    <xf numFmtId="9" fontId="2" fillId="0" borderId="0" xfId="2" applyFont="1"/>
    <xf numFmtId="39" fontId="2" fillId="0" borderId="0" xfId="0" quotePrefix="1" applyFont="1" applyAlignment="1">
      <alignment horizontal="right"/>
    </xf>
    <xf numFmtId="39" fontId="3" fillId="0" borderId="0" xfId="0" applyFont="1"/>
    <xf numFmtId="9" fontId="2" fillId="0" borderId="0" xfId="2" applyFont="1" applyAlignment="1">
      <alignment horizontal="left"/>
    </xf>
    <xf numFmtId="166" fontId="2" fillId="0" borderId="0" xfId="2" applyNumberFormat="1" applyFont="1" applyAlignment="1">
      <alignment horizontal="left"/>
    </xf>
    <xf numFmtId="10" fontId="2" fillId="0" borderId="0" xfId="2" applyNumberFormat="1" applyFont="1" applyAlignment="1">
      <alignment horizontal="left"/>
    </xf>
    <xf numFmtId="164" fontId="2" fillId="0" borderId="0" xfId="1" applyFont="1"/>
    <xf numFmtId="164" fontId="2" fillId="0" borderId="0" xfId="1" applyFont="1" applyAlignment="1">
      <alignment horizontal="right"/>
    </xf>
    <xf numFmtId="39" fontId="6" fillId="0" borderId="0" xfId="0" applyFont="1"/>
    <xf numFmtId="39" fontId="6" fillId="0" borderId="0" xfId="0" applyFont="1" applyAlignment="1">
      <alignment horizontal="left" vertical="center"/>
    </xf>
    <xf numFmtId="39" fontId="7" fillId="0" borderId="0" xfId="3" applyFont="1" applyAlignment="1">
      <alignment horizontal="left" vertical="center"/>
    </xf>
    <xf numFmtId="39" fontId="8" fillId="0" borderId="0" xfId="0" applyFont="1"/>
    <xf numFmtId="164" fontId="2" fillId="0" borderId="0" xfId="1" applyFont="1" applyAlignment="1">
      <alignment horizontal="left" indent="1"/>
    </xf>
    <xf numFmtId="165" fontId="9" fillId="0" borderId="0" xfId="1" applyNumberFormat="1" applyFont="1"/>
    <xf numFmtId="165" fontId="10" fillId="0" borderId="0" xfId="1" applyNumberFormat="1" applyFont="1"/>
    <xf numFmtId="165" fontId="10" fillId="2" borderId="0" xfId="1" applyNumberFormat="1" applyFont="1" applyFill="1"/>
    <xf numFmtId="165" fontId="10" fillId="0" borderId="0" xfId="1" applyNumberFormat="1" applyFont="1" applyAlignment="1">
      <alignment horizontal="right"/>
    </xf>
    <xf numFmtId="39" fontId="9" fillId="0" borderId="0" xfId="0" applyFont="1"/>
    <xf numFmtId="165" fontId="10" fillId="0" borderId="0" xfId="1" quotePrefix="1" applyNumberFormat="1" applyFont="1" applyAlignment="1">
      <alignment horizontal="right"/>
    </xf>
    <xf numFmtId="39" fontId="10" fillId="0" borderId="0" xfId="0" applyFont="1"/>
    <xf numFmtId="39" fontId="10" fillId="0" borderId="0" xfId="0" applyFont="1" applyAlignment="1">
      <alignment horizontal="left" indent="1"/>
    </xf>
    <xf numFmtId="165" fontId="10" fillId="2" borderId="0" xfId="1" applyNumberFormat="1" applyFont="1" applyFill="1" applyProtection="1">
      <protection locked="0"/>
    </xf>
    <xf numFmtId="165" fontId="10" fillId="2" borderId="1" xfId="1" applyNumberFormat="1" applyFont="1" applyFill="1" applyBorder="1" applyProtection="1">
      <protection locked="0"/>
    </xf>
    <xf numFmtId="165" fontId="10" fillId="0" borderId="1" xfId="1" applyNumberFormat="1" applyFont="1" applyBorder="1"/>
    <xf numFmtId="39" fontId="10" fillId="0" borderId="0" xfId="0" applyFont="1" applyAlignment="1">
      <alignment horizontal="left" vertical="center" indent="1"/>
    </xf>
    <xf numFmtId="39" fontId="10" fillId="0" borderId="0" xfId="0" applyFont="1" applyAlignment="1">
      <alignment horizontal="left" vertical="center"/>
    </xf>
    <xf numFmtId="165" fontId="10" fillId="0" borderId="2" xfId="1" applyNumberFormat="1" applyFont="1" applyBorder="1"/>
    <xf numFmtId="165" fontId="11" fillId="0" borderId="0" xfId="1" applyNumberFormat="1" applyFont="1"/>
    <xf numFmtId="164" fontId="2" fillId="0" borderId="0" xfId="1" applyFont="1" applyFill="1"/>
    <xf numFmtId="10" fontId="2" fillId="0" borderId="0" xfId="2" applyNumberFormat="1" applyFont="1" applyFill="1"/>
    <xf numFmtId="39" fontId="2" fillId="0" borderId="0" xfId="0" quotePrefix="1" applyFont="1"/>
    <xf numFmtId="164" fontId="2" fillId="0" borderId="0" xfId="1" quotePrefix="1" applyFont="1"/>
    <xf numFmtId="164" fontId="2" fillId="0" borderId="0" xfId="1" quotePrefix="1" applyFont="1" applyAlignment="1">
      <alignment horizontal="right"/>
    </xf>
    <xf numFmtId="10" fontId="2" fillId="0" borderId="0" xfId="2" applyNumberFormat="1" applyFont="1"/>
    <xf numFmtId="39" fontId="12" fillId="0" borderId="0" xfId="0" quotePrefix="1" applyFont="1"/>
    <xf numFmtId="164" fontId="2" fillId="3" borderId="0" xfId="1" applyFont="1" applyFill="1"/>
    <xf numFmtId="10" fontId="2" fillId="3" borderId="0" xfId="2" applyNumberFormat="1" applyFont="1" applyFill="1"/>
    <xf numFmtId="39" fontId="2" fillId="3" borderId="0" xfId="0" applyFont="1" applyFill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748583</xdr:colOff>
      <xdr:row>0</xdr:row>
      <xdr:rowOff>114300</xdr:rowOff>
    </xdr:from>
    <xdr:to>
      <xdr:col>5</xdr:col>
      <xdr:colOff>746378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658EDD-E328-4A24-940E-1F567C0B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5733" y="114300"/>
          <a:ext cx="152179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4"/>
  <sheetViews>
    <sheetView workbookViewId="0">
      <selection activeCell="E13" sqref="E13"/>
    </sheetView>
  </sheetViews>
  <sheetFormatPr defaultColWidth="8.88671875" defaultRowHeight="12.75"/>
  <cols>
    <col min="1" max="1" width="38.109375" style="2" customWidth="1"/>
    <col min="2" max="2" width="10.33203125" style="10" bestFit="1" customWidth="1"/>
    <col min="3" max="16384" width="8.88671875" style="2"/>
  </cols>
  <sheetData>
    <row r="1" spans="1:10">
      <c r="A1" s="6" t="s">
        <v>0</v>
      </c>
      <c r="B1" s="35" t="s">
        <v>1</v>
      </c>
    </row>
    <row r="2" spans="1:10">
      <c r="B2" s="36"/>
      <c r="H2" s="5"/>
      <c r="J2" s="1" t="s">
        <v>2</v>
      </c>
    </row>
    <row r="3" spans="1:10">
      <c r="A3" s="1" t="s">
        <v>3</v>
      </c>
      <c r="B3" s="10">
        <v>12570</v>
      </c>
      <c r="C3" s="10"/>
      <c r="H3" s="1"/>
      <c r="J3" s="1" t="s">
        <v>4</v>
      </c>
    </row>
    <row r="4" spans="1:10">
      <c r="A4" s="1" t="s">
        <v>5</v>
      </c>
      <c r="B4" s="10">
        <v>100000</v>
      </c>
      <c r="C4" s="1"/>
      <c r="H4" s="1"/>
      <c r="J4" s="2" t="s">
        <v>6</v>
      </c>
    </row>
    <row r="5" spans="1:10">
      <c r="A5" s="1" t="s">
        <v>7</v>
      </c>
      <c r="B5" s="10">
        <v>37700</v>
      </c>
      <c r="E5" s="1">
        <f>+BRB+PA</f>
        <v>50270</v>
      </c>
      <c r="F5" s="2" t="s">
        <v>8</v>
      </c>
      <c r="H5" s="1"/>
      <c r="J5" s="2" t="s">
        <v>9</v>
      </c>
    </row>
    <row r="6" spans="1:10">
      <c r="A6" s="1" t="s">
        <v>10</v>
      </c>
      <c r="B6" s="10">
        <f>125140-BRB</f>
        <v>87440</v>
      </c>
      <c r="C6" s="3"/>
      <c r="E6" s="2" t="s">
        <v>11</v>
      </c>
      <c r="H6" s="1"/>
      <c r="J6" s="2" t="s">
        <v>12</v>
      </c>
    </row>
    <row r="7" spans="1:10">
      <c r="A7" s="1" t="s">
        <v>13</v>
      </c>
      <c r="B7" s="37">
        <v>0.2</v>
      </c>
      <c r="C7" s="1"/>
      <c r="H7" s="4"/>
      <c r="J7" s="2" t="s">
        <v>14</v>
      </c>
    </row>
    <row r="8" spans="1:10">
      <c r="A8" s="1" t="s">
        <v>15</v>
      </c>
      <c r="B8" s="37">
        <v>0.4</v>
      </c>
      <c r="C8" s="1"/>
      <c r="H8" s="4"/>
      <c r="J8" s="2" t="s">
        <v>16</v>
      </c>
    </row>
    <row r="9" spans="1:10">
      <c r="A9" s="1" t="s">
        <v>17</v>
      </c>
      <c r="B9" s="37">
        <v>0.45</v>
      </c>
      <c r="C9" s="1"/>
      <c r="H9" s="4"/>
      <c r="J9" s="2" t="s">
        <v>18</v>
      </c>
    </row>
    <row r="10" spans="1:10">
      <c r="A10" s="1" t="s">
        <v>19</v>
      </c>
      <c r="B10" s="39">
        <v>500</v>
      </c>
      <c r="C10" s="1"/>
      <c r="H10" s="3"/>
      <c r="J10" s="2" t="s">
        <v>20</v>
      </c>
    </row>
    <row r="11" spans="1:10">
      <c r="A11" s="1" t="s">
        <v>21</v>
      </c>
      <c r="B11" s="37">
        <v>8.7499999999999994E-2</v>
      </c>
      <c r="C11" s="1"/>
      <c r="H11" s="3"/>
      <c r="J11" s="2" t="s">
        <v>22</v>
      </c>
    </row>
    <row r="12" spans="1:10">
      <c r="A12" s="1" t="s">
        <v>23</v>
      </c>
      <c r="B12" s="37">
        <v>0.33750000000000002</v>
      </c>
      <c r="C12" s="1"/>
      <c r="H12" s="3"/>
      <c r="J12" s="2" t="s">
        <v>24</v>
      </c>
    </row>
    <row r="13" spans="1:10">
      <c r="A13" s="1" t="s">
        <v>25</v>
      </c>
      <c r="B13" s="37">
        <v>0.39350000000000002</v>
      </c>
      <c r="C13" s="1"/>
      <c r="D13" s="2" t="s">
        <v>26</v>
      </c>
      <c r="H13" s="3"/>
      <c r="J13" s="2" t="s">
        <v>27</v>
      </c>
    </row>
    <row r="14" spans="1:10">
      <c r="A14" s="1" t="s">
        <v>28</v>
      </c>
      <c r="B14" s="32">
        <v>6396</v>
      </c>
      <c r="C14" s="10">
        <f>+B14/52</f>
        <v>123</v>
      </c>
      <c r="D14" s="2">
        <v>123</v>
      </c>
      <c r="E14" s="2" t="s">
        <v>29</v>
      </c>
      <c r="H14" s="1"/>
      <c r="J14" s="2" t="s">
        <v>30</v>
      </c>
    </row>
    <row r="15" spans="1:10">
      <c r="A15" s="1" t="s">
        <v>31</v>
      </c>
      <c r="B15" s="32">
        <v>12570</v>
      </c>
      <c r="C15" s="10">
        <f>+B15/52</f>
        <v>241.73076923076923</v>
      </c>
      <c r="D15" s="2">
        <v>242</v>
      </c>
      <c r="E15" s="2" t="s">
        <v>32</v>
      </c>
      <c r="H15" s="1"/>
      <c r="J15" s="2" t="s">
        <v>33</v>
      </c>
    </row>
    <row r="16" spans="1:10">
      <c r="A16" s="1" t="s">
        <v>34</v>
      </c>
      <c r="B16" s="32">
        <v>50270</v>
      </c>
      <c r="C16" s="10">
        <f>+B16/52</f>
        <v>966.73076923076928</v>
      </c>
      <c r="D16" s="2">
        <v>967</v>
      </c>
      <c r="E16" s="2" t="s">
        <v>35</v>
      </c>
      <c r="H16" s="1"/>
      <c r="J16" s="2" t="s">
        <v>36</v>
      </c>
    </row>
    <row r="17" spans="1:10">
      <c r="A17" s="1" t="s">
        <v>37</v>
      </c>
      <c r="B17" s="40">
        <v>0.08</v>
      </c>
      <c r="C17" s="10"/>
      <c r="J17" s="2" t="s">
        <v>38</v>
      </c>
    </row>
    <row r="18" spans="1:10">
      <c r="A18" s="1" t="s">
        <v>39</v>
      </c>
      <c r="B18" s="33">
        <v>0.02</v>
      </c>
      <c r="C18" s="1"/>
      <c r="E18" s="2" t="s">
        <v>40</v>
      </c>
      <c r="H18" s="1"/>
      <c r="J18" s="2" t="s">
        <v>41</v>
      </c>
    </row>
    <row r="19" spans="1:10">
      <c r="A19" s="1" t="s">
        <v>42</v>
      </c>
      <c r="B19" s="33">
        <v>0.13800000000000001</v>
      </c>
      <c r="C19" s="10"/>
      <c r="H19" s="3"/>
      <c r="J19" s="2" t="s">
        <v>43</v>
      </c>
    </row>
    <row r="20" spans="1:10">
      <c r="A20" s="1" t="s">
        <v>44</v>
      </c>
      <c r="B20" s="32">
        <v>9100</v>
      </c>
      <c r="C20" s="10">
        <f>+B20/52</f>
        <v>175</v>
      </c>
      <c r="D20" s="2">
        <v>175</v>
      </c>
      <c r="E20" s="2" t="s">
        <v>45</v>
      </c>
      <c r="H20" s="3"/>
      <c r="J20" s="2" t="s">
        <v>46</v>
      </c>
    </row>
    <row r="21" spans="1:10">
      <c r="A21" s="1" t="s">
        <v>47</v>
      </c>
      <c r="B21" s="10">
        <v>12570</v>
      </c>
      <c r="H21" s="1"/>
      <c r="J21" s="2" t="s">
        <v>48</v>
      </c>
    </row>
    <row r="22" spans="1:10">
      <c r="A22" s="1" t="s">
        <v>49</v>
      </c>
      <c r="B22" s="10">
        <v>50270</v>
      </c>
      <c r="H22" s="1"/>
      <c r="J22" s="38" t="s">
        <v>50</v>
      </c>
    </row>
    <row r="23" spans="1:10">
      <c r="A23" s="1" t="s">
        <v>51</v>
      </c>
      <c r="B23" s="40">
        <v>0.06</v>
      </c>
      <c r="J23" s="38" t="s">
        <v>52</v>
      </c>
    </row>
    <row r="24" spans="1:10">
      <c r="A24" s="1" t="s">
        <v>53</v>
      </c>
      <c r="B24" s="37">
        <v>0.02</v>
      </c>
      <c r="J24" s="38" t="s">
        <v>54</v>
      </c>
    </row>
    <row r="25" spans="1:10">
      <c r="A25" s="1" t="s">
        <v>55</v>
      </c>
      <c r="B25" s="39">
        <v>0</v>
      </c>
      <c r="E25" s="41" t="s">
        <v>56</v>
      </c>
      <c r="F25" s="41"/>
      <c r="G25" s="41"/>
      <c r="H25" s="41"/>
      <c r="J25" s="38" t="s">
        <v>57</v>
      </c>
    </row>
    <row r="26" spans="1:10">
      <c r="A26" s="1" t="s">
        <v>58</v>
      </c>
      <c r="B26" s="39">
        <v>0</v>
      </c>
      <c r="E26" s="41"/>
      <c r="F26" s="41"/>
      <c r="G26" s="41"/>
      <c r="H26" s="41"/>
      <c r="J26" s="2" t="s">
        <v>59</v>
      </c>
    </row>
    <row r="27" spans="1:10">
      <c r="A27" s="1" t="s">
        <v>60</v>
      </c>
      <c r="B27" s="39">
        <v>3000</v>
      </c>
      <c r="J27" s="2" t="s">
        <v>61</v>
      </c>
    </row>
    <row r="28" spans="1:10">
      <c r="A28" s="1" t="s">
        <v>62</v>
      </c>
      <c r="B28" s="37">
        <v>0.1</v>
      </c>
      <c r="J28" s="2" t="s">
        <v>63</v>
      </c>
    </row>
    <row r="29" spans="1:10">
      <c r="A29" s="1" t="s">
        <v>64</v>
      </c>
      <c r="B29" s="37">
        <v>0.2</v>
      </c>
      <c r="J29" s="2" t="s">
        <v>65</v>
      </c>
    </row>
    <row r="30" spans="1:10">
      <c r="A30" s="1" t="s">
        <v>66</v>
      </c>
      <c r="B30" s="37">
        <v>0.18</v>
      </c>
    </row>
    <row r="31" spans="1:10">
      <c r="A31" s="1" t="s">
        <v>67</v>
      </c>
      <c r="B31" s="40">
        <v>0.24</v>
      </c>
    </row>
    <row r="32" spans="1:10">
      <c r="A32" s="1" t="s">
        <v>68</v>
      </c>
      <c r="B32" s="37">
        <v>0.19</v>
      </c>
      <c r="E32" s="2" t="s">
        <v>69</v>
      </c>
    </row>
    <row r="33" spans="1:8">
      <c r="A33" s="1" t="s">
        <v>70</v>
      </c>
      <c r="B33" s="37">
        <v>0.26500000000000001</v>
      </c>
      <c r="E33" s="2" t="s">
        <v>71</v>
      </c>
    </row>
    <row r="34" spans="1:8">
      <c r="A34" s="1" t="s">
        <v>72</v>
      </c>
      <c r="B34" s="37">
        <v>0.25</v>
      </c>
      <c r="E34" s="2" t="s">
        <v>73</v>
      </c>
    </row>
    <row r="35" spans="1:8">
      <c r="A35" s="2" t="s">
        <v>74</v>
      </c>
      <c r="B35" s="10">
        <v>5000</v>
      </c>
      <c r="E35" s="2" t="s">
        <v>75</v>
      </c>
      <c r="H35" s="5"/>
    </row>
    <row r="36" spans="1:8">
      <c r="A36" s="2" t="s">
        <v>76</v>
      </c>
      <c r="B36" s="10">
        <v>5000</v>
      </c>
      <c r="H36" s="5"/>
    </row>
    <row r="37" spans="1:8">
      <c r="A37" s="2" t="s">
        <v>77</v>
      </c>
      <c r="B37" s="10">
        <v>1000</v>
      </c>
      <c r="H37" s="5"/>
    </row>
    <row r="38" spans="1:8">
      <c r="A38" s="2" t="s">
        <v>78</v>
      </c>
      <c r="B38" s="10">
        <v>500</v>
      </c>
      <c r="H38" s="5"/>
    </row>
    <row r="39" spans="1:8">
      <c r="H39" s="5"/>
    </row>
    <row r="40" spans="1:8">
      <c r="A40" s="6" t="s">
        <v>79</v>
      </c>
      <c r="H40" s="5"/>
    </row>
    <row r="41" spans="1:8">
      <c r="A41" s="6" t="s">
        <v>80</v>
      </c>
      <c r="H41" s="1"/>
    </row>
    <row r="42" spans="1:8">
      <c r="H42" s="1"/>
    </row>
    <row r="43" spans="1:8">
      <c r="H43" s="1"/>
    </row>
    <row r="44" spans="1:8">
      <c r="H44" s="1"/>
    </row>
    <row r="45" spans="1:8">
      <c r="H45" s="4"/>
    </row>
    <row r="46" spans="1:8">
      <c r="A46" s="6" t="s">
        <v>81</v>
      </c>
      <c r="H46" s="4"/>
    </row>
    <row r="47" spans="1:8">
      <c r="H47" s="4"/>
    </row>
    <row r="48" spans="1:8">
      <c r="A48" s="6" t="s">
        <v>82</v>
      </c>
      <c r="H48" s="4"/>
    </row>
    <row r="49" spans="1:8">
      <c r="H49" s="4"/>
    </row>
    <row r="50" spans="1:8">
      <c r="A50" s="2" t="s">
        <v>83</v>
      </c>
      <c r="B50" s="10">
        <f>+'Tax Calculator'!E46</f>
        <v>0</v>
      </c>
      <c r="H50" s="3"/>
    </row>
    <row r="51" spans="1:8">
      <c r="A51" s="2" t="s">
        <v>84</v>
      </c>
      <c r="B51" s="10">
        <v>0</v>
      </c>
      <c r="H51" s="3"/>
    </row>
    <row r="52" spans="1:8">
      <c r="A52" s="2" t="s">
        <v>85</v>
      </c>
      <c r="B52" s="10">
        <f>+'Tax Calculator'!E50</f>
        <v>0</v>
      </c>
      <c r="H52" s="3"/>
    </row>
    <row r="53" spans="1:8">
      <c r="A53" s="2" t="s">
        <v>86</v>
      </c>
      <c r="B53" s="10">
        <f>+'Tax Calculator'!E48</f>
        <v>0</v>
      </c>
      <c r="H53" s="3"/>
    </row>
    <row r="54" spans="1:8">
      <c r="A54" s="2" t="s">
        <v>87</v>
      </c>
      <c r="B54" s="10">
        <f>+'Tax Calculator'!E42</f>
        <v>0</v>
      </c>
      <c r="H54" s="3"/>
    </row>
    <row r="55" spans="1:8">
      <c r="A55" s="2" t="s">
        <v>88</v>
      </c>
      <c r="B55" s="10">
        <f>+'Tax Calculator'!E49</f>
        <v>0</v>
      </c>
      <c r="H55" s="1"/>
    </row>
    <row r="56" spans="1:8">
      <c r="A56" s="2" t="s">
        <v>89</v>
      </c>
      <c r="B56" s="10">
        <v>0</v>
      </c>
      <c r="H56" s="1"/>
    </row>
    <row r="57" spans="1:8">
      <c r="A57" s="2" t="s">
        <v>90</v>
      </c>
      <c r="B57" s="10">
        <f>+'Tax Calculator'!E59</f>
        <v>0</v>
      </c>
      <c r="H57" s="1"/>
    </row>
    <row r="58" spans="1:8">
      <c r="A58" s="2" t="s">
        <v>91</v>
      </c>
      <c r="B58" s="10">
        <v>0</v>
      </c>
      <c r="H58" s="3"/>
    </row>
    <row r="59" spans="1:8">
      <c r="A59" s="2" t="s">
        <v>92</v>
      </c>
      <c r="B59" s="10">
        <v>0</v>
      </c>
      <c r="H59" s="3"/>
    </row>
    <row r="60" spans="1:8">
      <c r="A60" s="2" t="s">
        <v>93</v>
      </c>
      <c r="B60" s="10">
        <v>1</v>
      </c>
      <c r="H60" s="3"/>
    </row>
    <row r="61" spans="1:8">
      <c r="H61" s="3"/>
    </row>
    <row r="62" spans="1:8">
      <c r="H62" s="3"/>
    </row>
    <row r="63" spans="1:8">
      <c r="H63" s="3"/>
    </row>
    <row r="64" spans="1:8">
      <c r="A64" s="6" t="s">
        <v>94</v>
      </c>
      <c r="H64" s="3"/>
    </row>
    <row r="65" spans="1:8">
      <c r="H65" s="3"/>
    </row>
    <row r="66" spans="1:8">
      <c r="A66" s="2" t="s">
        <v>95</v>
      </c>
      <c r="B66" s="10">
        <f>+B282</f>
        <v>0</v>
      </c>
      <c r="H66" s="3"/>
    </row>
    <row r="67" spans="1:8">
      <c r="A67" s="2" t="s">
        <v>96</v>
      </c>
      <c r="B67" s="10">
        <f>+B283</f>
        <v>0</v>
      </c>
      <c r="H67" s="3"/>
    </row>
    <row r="68" spans="1:8">
      <c r="A68" s="2" t="s">
        <v>97</v>
      </c>
      <c r="H68" s="3"/>
    </row>
    <row r="69" spans="1:8">
      <c r="A69" s="2" t="s">
        <v>98</v>
      </c>
      <c r="B69" s="10">
        <f>+B300</f>
        <v>0</v>
      </c>
      <c r="H69" s="3"/>
    </row>
    <row r="70" spans="1:8">
      <c r="A70" s="2" t="s">
        <v>99</v>
      </c>
      <c r="B70" s="10">
        <f>+B309</f>
        <v>0</v>
      </c>
      <c r="H70" s="3"/>
    </row>
    <row r="71" spans="1:8">
      <c r="A71" s="2" t="s">
        <v>100</v>
      </c>
      <c r="H71" s="3"/>
    </row>
    <row r="72" spans="1:8">
      <c r="A72" s="2" t="s">
        <v>101</v>
      </c>
      <c r="B72" s="10">
        <f>+B315</f>
        <v>0</v>
      </c>
      <c r="H72" s="3"/>
    </row>
    <row r="73" spans="1:8">
      <c r="A73" s="2" t="s">
        <v>102</v>
      </c>
      <c r="B73" s="10">
        <f>+B334</f>
        <v>0</v>
      </c>
      <c r="H73" s="3"/>
    </row>
    <row r="74" spans="1:8">
      <c r="A74" s="2" t="s">
        <v>103</v>
      </c>
      <c r="B74" s="10">
        <f>+B362</f>
        <v>0</v>
      </c>
      <c r="H74" s="3"/>
    </row>
    <row r="75" spans="1:8">
      <c r="A75" s="2" t="s">
        <v>3</v>
      </c>
      <c r="B75" s="10">
        <f>+B97</f>
        <v>12570</v>
      </c>
      <c r="H75" s="3"/>
    </row>
    <row r="76" spans="1:8">
      <c r="A76" s="2" t="s">
        <v>104</v>
      </c>
      <c r="B76" s="10">
        <f>+B146</f>
        <v>0</v>
      </c>
      <c r="H76" s="3"/>
    </row>
    <row r="77" spans="1:8">
      <c r="A77" s="2" t="s">
        <v>105</v>
      </c>
      <c r="B77" s="10">
        <f>+B374</f>
        <v>0</v>
      </c>
      <c r="H77" s="3"/>
    </row>
    <row r="78" spans="1:8">
      <c r="H78" s="3"/>
    </row>
    <row r="79" spans="1:8">
      <c r="H79" s="1"/>
    </row>
    <row r="80" spans="1:8">
      <c r="A80" s="6" t="s">
        <v>106</v>
      </c>
      <c r="H80" s="3"/>
    </row>
    <row r="81" spans="1:8">
      <c r="H81" s="1"/>
    </row>
    <row r="82" spans="1:8">
      <c r="A82" s="2" t="s">
        <v>83</v>
      </c>
      <c r="B82" s="10">
        <f>+B50</f>
        <v>0</v>
      </c>
      <c r="H82" s="3"/>
    </row>
    <row r="83" spans="1:8">
      <c r="A83" s="2" t="s">
        <v>85</v>
      </c>
      <c r="B83" s="10">
        <f>+B52</f>
        <v>0</v>
      </c>
      <c r="H83" s="3"/>
    </row>
    <row r="84" spans="1:8">
      <c r="A84" s="2" t="s">
        <v>86</v>
      </c>
      <c r="B84" s="10">
        <f>+B53</f>
        <v>0</v>
      </c>
      <c r="H84" s="3"/>
    </row>
    <row r="85" spans="1:8">
      <c r="A85" s="2" t="s">
        <v>87</v>
      </c>
      <c r="B85" s="10">
        <f>+B54</f>
        <v>0</v>
      </c>
      <c r="H85" s="3"/>
    </row>
    <row r="86" spans="1:8">
      <c r="A86" s="2" t="s">
        <v>88</v>
      </c>
      <c r="B86" s="10">
        <f>+B55</f>
        <v>0</v>
      </c>
      <c r="H86" s="1"/>
    </row>
    <row r="87" spans="1:8">
      <c r="H87" s="4"/>
    </row>
    <row r="88" spans="1:8">
      <c r="A88" s="2" t="s">
        <v>107</v>
      </c>
      <c r="B88" s="10">
        <f>SUM(B82:B86)</f>
        <v>0</v>
      </c>
      <c r="H88" s="4"/>
    </row>
    <row r="89" spans="1:8">
      <c r="H89" s="4"/>
    </row>
    <row r="90" spans="1:8">
      <c r="A90" s="2" t="s">
        <v>108</v>
      </c>
      <c r="H90" s="4"/>
    </row>
    <row r="91" spans="1:8">
      <c r="H91" s="4"/>
    </row>
    <row r="92" spans="1:8">
      <c r="A92" s="2" t="s">
        <v>109</v>
      </c>
      <c r="B92" s="10">
        <f>PA</f>
        <v>12570</v>
      </c>
      <c r="H92" s="5"/>
    </row>
    <row r="93" spans="1:8">
      <c r="A93" s="2" t="s">
        <v>110</v>
      </c>
      <c r="B93" s="10">
        <f>+B59</f>
        <v>0</v>
      </c>
      <c r="H93" s="1"/>
    </row>
    <row r="94" spans="1:8">
      <c r="A94" s="2" t="s">
        <v>111</v>
      </c>
      <c r="B94" s="10">
        <f>+B93+B92</f>
        <v>12570</v>
      </c>
      <c r="H94" s="1"/>
    </row>
    <row r="95" spans="1:8">
      <c r="H95" s="1"/>
    </row>
    <row r="96" spans="1:8">
      <c r="A96" s="2" t="s">
        <v>112</v>
      </c>
      <c r="B96" s="10">
        <f>IF(B88&lt;Abate,0,(B88-Abate)/2)</f>
        <v>0</v>
      </c>
      <c r="H96" s="1"/>
    </row>
    <row r="97" spans="1:8">
      <c r="A97" s="2" t="s">
        <v>113</v>
      </c>
      <c r="B97" s="10">
        <f>IF(B96&gt;B94,0,B94-B96)</f>
        <v>12570</v>
      </c>
      <c r="H97" s="4"/>
    </row>
    <row r="98" spans="1:8">
      <c r="H98" s="4"/>
    </row>
    <row r="99" spans="1:8">
      <c r="A99" s="2" t="s">
        <v>114</v>
      </c>
      <c r="H99" s="4"/>
    </row>
    <row r="100" spans="1:8">
      <c r="H100" s="4"/>
    </row>
    <row r="101" spans="1:8">
      <c r="A101" s="2" t="s">
        <v>107</v>
      </c>
      <c r="B101" s="10">
        <f>+B88</f>
        <v>0</v>
      </c>
      <c r="H101" s="4"/>
    </row>
    <row r="102" spans="1:8">
      <c r="H102" s="4"/>
    </row>
    <row r="103" spans="1:8">
      <c r="A103" s="2" t="s">
        <v>3</v>
      </c>
      <c r="B103" s="10">
        <f>IF(B101&lt;B97,B101,B97)</f>
        <v>0</v>
      </c>
      <c r="H103" s="4"/>
    </row>
    <row r="104" spans="1:8">
      <c r="A104" s="2" t="s">
        <v>13</v>
      </c>
      <c r="B104" s="10">
        <f>IF(B101&lt;(B97+(BRB+B57)),B101-B103,(BRB+B57))</f>
        <v>0</v>
      </c>
      <c r="H104" s="4"/>
    </row>
    <row r="105" spans="1:8">
      <c r="A105" s="2" t="s">
        <v>15</v>
      </c>
      <c r="B105" s="10">
        <f>IF(B101&lt;(B97+(BRB+B57)+HRB),B101-B103-B104,HRB)</f>
        <v>0</v>
      </c>
      <c r="H105" s="4"/>
    </row>
    <row r="106" spans="1:8">
      <c r="A106" s="2" t="s">
        <v>17</v>
      </c>
      <c r="B106" s="10">
        <f>IF(B103+B104+B105&lt;B101,B101-B103-B104-B105,0)</f>
        <v>0</v>
      </c>
      <c r="H106" s="4"/>
    </row>
    <row r="107" spans="1:8">
      <c r="H107" s="4"/>
    </row>
    <row r="108" spans="1:8">
      <c r="A108" s="2" t="s">
        <v>115</v>
      </c>
      <c r="H108" s="4"/>
    </row>
    <row r="109" spans="1:8">
      <c r="A109" s="2" t="s">
        <v>107</v>
      </c>
      <c r="B109" s="10">
        <f>+B88</f>
        <v>0</v>
      </c>
      <c r="H109" s="4"/>
    </row>
    <row r="110" spans="1:8">
      <c r="A110" s="2" t="s">
        <v>116</v>
      </c>
      <c r="B110" s="10">
        <f>+B84+B86</f>
        <v>0</v>
      </c>
      <c r="H110" s="4"/>
    </row>
    <row r="111" spans="1:8">
      <c r="H111" s="4"/>
    </row>
    <row r="112" spans="1:8">
      <c r="A112" s="2" t="s">
        <v>117</v>
      </c>
      <c r="B112" s="10">
        <f>IF(B109-B110&gt;B97+savingsallcestarting,0,IF(B109-B110&lt;B97,savingsallcestarting,+B97+savingsallcestarting-(B109-B110)))</f>
        <v>5000</v>
      </c>
      <c r="H112" s="4"/>
    </row>
    <row r="113" spans="1:8">
      <c r="A113" s="2" t="s">
        <v>118</v>
      </c>
      <c r="B113" s="10">
        <f>IF(B105=0,savingsallcebr,IF(B106=0,savingsallcehr,0))</f>
        <v>1000</v>
      </c>
      <c r="H113" s="4"/>
    </row>
    <row r="114" spans="1:8">
      <c r="A114" s="2" t="s">
        <v>119</v>
      </c>
      <c r="B114" s="10">
        <f>+B113+B112</f>
        <v>6000</v>
      </c>
      <c r="H114" s="4"/>
    </row>
    <row r="115" spans="1:8">
      <c r="A115" s="2" t="s">
        <v>120</v>
      </c>
      <c r="B115" s="10">
        <f>IF(B84-B114&lt;0,0,B84-B114)</f>
        <v>0</v>
      </c>
      <c r="H115" s="4"/>
    </row>
    <row r="116" spans="1:8">
      <c r="H116" s="4"/>
    </row>
    <row r="117" spans="1:8">
      <c r="A117" s="2" t="s">
        <v>121</v>
      </c>
      <c r="B117" s="10">
        <f>+B82+B85+B83+B115</f>
        <v>0</v>
      </c>
      <c r="H117" s="4"/>
    </row>
    <row r="118" spans="1:8">
      <c r="H118" s="3"/>
    </row>
    <row r="119" spans="1:8">
      <c r="A119" s="15" t="s">
        <v>122</v>
      </c>
      <c r="H119" s="3"/>
    </row>
    <row r="120" spans="1:8">
      <c r="H120" s="1"/>
    </row>
    <row r="121" spans="1:8">
      <c r="A121" s="2" t="s">
        <v>123</v>
      </c>
      <c r="H121" s="1"/>
    </row>
    <row r="122" spans="1:8">
      <c r="H122" s="1"/>
    </row>
    <row r="123" spans="1:8">
      <c r="A123" s="2" t="s">
        <v>3</v>
      </c>
      <c r="B123" s="10">
        <f>IF(B117&lt;B97,B117,B97)</f>
        <v>0</v>
      </c>
      <c r="H123" s="3"/>
    </row>
    <row r="124" spans="1:8">
      <c r="A124" s="2" t="s">
        <v>13</v>
      </c>
      <c r="B124" s="10">
        <f>IF(B117&lt;(B97+(BRB+B57)),B117-B123,(BRB+B57))</f>
        <v>0</v>
      </c>
      <c r="H124" s="3"/>
    </row>
    <row r="125" spans="1:8">
      <c r="A125" s="2" t="s">
        <v>15</v>
      </c>
      <c r="B125" s="10">
        <f>IF(B117&lt;(B97+(BRB+B57)+HRB),B117-B123-B124,HRB)</f>
        <v>0</v>
      </c>
      <c r="H125" s="1"/>
    </row>
    <row r="126" spans="1:8">
      <c r="A126" s="2" t="s">
        <v>17</v>
      </c>
      <c r="B126" s="10">
        <f>IF(B123+B124+B125&lt;B117,B117-B123-B124-B125,0)</f>
        <v>0</v>
      </c>
      <c r="H126" s="3"/>
    </row>
    <row r="127" spans="1:8">
      <c r="H127" s="1"/>
    </row>
    <row r="128" spans="1:8">
      <c r="A128" s="2" t="s">
        <v>124</v>
      </c>
      <c r="B128" s="10">
        <f>SUM(B123:B127)</f>
        <v>0</v>
      </c>
      <c r="H128" s="1"/>
    </row>
    <row r="129" spans="1:8">
      <c r="H129" s="3"/>
    </row>
    <row r="130" spans="1:8">
      <c r="A130" s="2" t="s">
        <v>125</v>
      </c>
      <c r="H130" s="3"/>
    </row>
    <row r="131" spans="1:8">
      <c r="H131" s="1"/>
    </row>
    <row r="132" spans="1:8">
      <c r="A132" s="7">
        <f>BR</f>
        <v>0.2</v>
      </c>
      <c r="B132" s="10">
        <f>+B124*BR</f>
        <v>0</v>
      </c>
      <c r="H132" s="1"/>
    </row>
    <row r="133" spans="1:8">
      <c r="A133" s="7">
        <f>HR</f>
        <v>0.4</v>
      </c>
      <c r="B133" s="10">
        <f>+B125*HR</f>
        <v>0</v>
      </c>
      <c r="H133" s="4"/>
    </row>
    <row r="134" spans="1:8">
      <c r="A134" s="7">
        <f>AR</f>
        <v>0.45</v>
      </c>
      <c r="B134" s="10">
        <f>+B126*AR</f>
        <v>0</v>
      </c>
      <c r="H134" s="4"/>
    </row>
    <row r="135" spans="1:8">
      <c r="A135" s="7"/>
      <c r="H135" s="4"/>
    </row>
    <row r="136" spans="1:8">
      <c r="A136" s="2" t="s">
        <v>125</v>
      </c>
      <c r="B136" s="10">
        <f>SUM(B132:B134)</f>
        <v>0</v>
      </c>
      <c r="H136" s="4"/>
    </row>
    <row r="137" spans="1:8">
      <c r="H137" s="4"/>
    </row>
    <row r="138" spans="1:8">
      <c r="A138" s="7" t="s">
        <v>126</v>
      </c>
      <c r="H138" s="4"/>
    </row>
    <row r="139" spans="1:8">
      <c r="A139" s="7"/>
      <c r="H139" s="4"/>
    </row>
    <row r="140" spans="1:8">
      <c r="A140" s="7" t="s">
        <v>111</v>
      </c>
      <c r="B140" s="10">
        <f>+B94</f>
        <v>12570</v>
      </c>
      <c r="H140" s="4"/>
    </row>
    <row r="141" spans="1:8">
      <c r="A141" s="7" t="s">
        <v>127</v>
      </c>
      <c r="B141" s="10">
        <f>+B85+B82+B83</f>
        <v>0</v>
      </c>
      <c r="H141" s="4"/>
    </row>
    <row r="142" spans="1:8">
      <c r="A142" s="7" t="s">
        <v>128</v>
      </c>
      <c r="B142" s="10">
        <f>IF(B140-B141&lt;0,0,+B140-B141)</f>
        <v>12570</v>
      </c>
      <c r="H142" s="4"/>
    </row>
    <row r="143" spans="1:8">
      <c r="A143" s="2" t="s">
        <v>129</v>
      </c>
      <c r="B143" s="10">
        <f>+B84</f>
        <v>0</v>
      </c>
      <c r="H143" s="4"/>
    </row>
    <row r="144" spans="1:8">
      <c r="A144" s="2" t="s">
        <v>130</v>
      </c>
      <c r="B144" s="10">
        <f>IF(B143&lt;B142,0,B143-B142)</f>
        <v>0</v>
      </c>
      <c r="H144" s="4"/>
    </row>
    <row r="145" spans="1:8">
      <c r="A145" s="2" t="s">
        <v>119</v>
      </c>
      <c r="B145" s="10">
        <f>+B114</f>
        <v>6000</v>
      </c>
      <c r="H145" s="4"/>
    </row>
    <row r="146" spans="1:8">
      <c r="A146" s="2" t="s">
        <v>131</v>
      </c>
      <c r="B146" s="10">
        <f>IF(B144&gt;B145,B145,B144)</f>
        <v>0</v>
      </c>
      <c r="H146" s="4"/>
    </row>
    <row r="147" spans="1:8">
      <c r="H147" s="5"/>
    </row>
    <row r="148" spans="1:8">
      <c r="H148" s="1"/>
    </row>
    <row r="149" spans="1:8">
      <c r="H149" s="1"/>
    </row>
    <row r="150" spans="1:8">
      <c r="A150" s="2" t="s">
        <v>132</v>
      </c>
      <c r="H150" s="1"/>
    </row>
    <row r="151" spans="1:8">
      <c r="H151" s="1"/>
    </row>
    <row r="152" spans="1:8">
      <c r="A152" s="2" t="s">
        <v>3</v>
      </c>
      <c r="B152" s="10">
        <f>IF(B123&lt;B97,B97-B123,0)</f>
        <v>12570</v>
      </c>
      <c r="H152" s="4"/>
    </row>
    <row r="153" spans="1:8">
      <c r="A153" s="2" t="s">
        <v>13</v>
      </c>
      <c r="B153" s="10">
        <f>IF(B124&lt;(BRB-B146+B57),(BRB-B146+B57)-B124,0)</f>
        <v>37700</v>
      </c>
      <c r="H153" s="4"/>
    </row>
    <row r="154" spans="1:8">
      <c r="A154" s="2" t="s">
        <v>15</v>
      </c>
      <c r="B154" s="10">
        <f>IF(B125&lt;HRB,HRB-B125,0)</f>
        <v>87440</v>
      </c>
      <c r="H154" s="4"/>
    </row>
    <row r="155" spans="1:8">
      <c r="A155" s="2" t="s">
        <v>17</v>
      </c>
      <c r="B155" s="11" t="s">
        <v>133</v>
      </c>
      <c r="H155" s="3"/>
    </row>
    <row r="156" spans="1:8">
      <c r="H156" s="3"/>
    </row>
    <row r="157" spans="1:8">
      <c r="A157" s="2" t="s">
        <v>134</v>
      </c>
      <c r="H157" s="1"/>
    </row>
    <row r="158" spans="1:8">
      <c r="H158" s="1"/>
    </row>
    <row r="159" spans="1:8">
      <c r="A159" s="2" t="s">
        <v>135</v>
      </c>
      <c r="B159" s="10">
        <f>+B55</f>
        <v>0</v>
      </c>
      <c r="H159" s="1"/>
    </row>
    <row r="160" spans="1:8">
      <c r="A160" s="2" t="s">
        <v>136</v>
      </c>
      <c r="B160" s="10">
        <f>Divallce*0</f>
        <v>0</v>
      </c>
      <c r="H160" s="3"/>
    </row>
    <row r="161" spans="1:8">
      <c r="A161" s="2" t="s">
        <v>137</v>
      </c>
      <c r="B161" s="10">
        <f>IF(B159-B160&lt;0,0,B159-B160)</f>
        <v>0</v>
      </c>
      <c r="H161" s="3"/>
    </row>
    <row r="162" spans="1:8">
      <c r="H162" s="1"/>
    </row>
    <row r="163" spans="1:8">
      <c r="A163" s="2" t="s">
        <v>3</v>
      </c>
      <c r="B163" s="10">
        <f>IF(B161&gt;B152,B152,B161)</f>
        <v>0</v>
      </c>
      <c r="H163" s="3"/>
    </row>
    <row r="164" spans="1:8">
      <c r="A164" s="2" t="s">
        <v>13</v>
      </c>
      <c r="B164" s="10">
        <f>IF(B161-B163&gt;B153,B153,B161-B163)</f>
        <v>0</v>
      </c>
      <c r="H164" s="1"/>
    </row>
    <row r="165" spans="1:8">
      <c r="A165" s="2" t="s">
        <v>15</v>
      </c>
      <c r="B165" s="10">
        <f>IF(B161-B163-B164&gt;B154,B154,B161-B163-B164)</f>
        <v>0</v>
      </c>
      <c r="H165" s="1"/>
    </row>
    <row r="166" spans="1:8">
      <c r="A166" s="2" t="s">
        <v>17</v>
      </c>
      <c r="B166" s="10">
        <f>+B161-SUM(B163:B165)</f>
        <v>0</v>
      </c>
      <c r="H166" s="3"/>
    </row>
    <row r="167" spans="1:8">
      <c r="H167" s="3"/>
    </row>
    <row r="168" spans="1:8">
      <c r="A168" s="2" t="s">
        <v>138</v>
      </c>
      <c r="B168" s="10">
        <f>SUM(B163:B167)</f>
        <v>0</v>
      </c>
      <c r="H168" s="1"/>
    </row>
    <row r="169" spans="1:8">
      <c r="H169" s="1"/>
    </row>
    <row r="170" spans="1:8">
      <c r="A170" s="2" t="s">
        <v>139</v>
      </c>
      <c r="H170" s="1"/>
    </row>
    <row r="171" spans="1:8">
      <c r="A171" s="2" t="s">
        <v>140</v>
      </c>
      <c r="B171" s="10">
        <f>IF((B168-B163)&lt;Divallce,B168-B163,Divallce)</f>
        <v>0</v>
      </c>
      <c r="H171" s="1"/>
    </row>
    <row r="172" spans="1:8">
      <c r="A172" s="2" t="s">
        <v>13</v>
      </c>
      <c r="B172" s="10">
        <f>IF(B171&lt;B164,B171,B164)</f>
        <v>0</v>
      </c>
      <c r="H172" s="1"/>
    </row>
    <row r="173" spans="1:8">
      <c r="A173" s="2" t="s">
        <v>15</v>
      </c>
      <c r="B173" s="10">
        <f>IF(B171-B172&gt;B165,B165,B171-B172)</f>
        <v>0</v>
      </c>
      <c r="H173" s="1"/>
    </row>
    <row r="174" spans="1:8">
      <c r="A174" s="2" t="s">
        <v>17</v>
      </c>
      <c r="B174" s="10">
        <f>+B171-B173-B172</f>
        <v>0</v>
      </c>
      <c r="H174" s="1"/>
    </row>
    <row r="175" spans="1:8">
      <c r="H175" s="4"/>
    </row>
    <row r="176" spans="1:8">
      <c r="A176" s="2" t="s">
        <v>141</v>
      </c>
      <c r="H176" s="4"/>
    </row>
    <row r="177" spans="1:8">
      <c r="H177" s="4"/>
    </row>
    <row r="178" spans="1:8">
      <c r="A178" s="9">
        <f>DivBR</f>
        <v>8.7499999999999994E-2</v>
      </c>
      <c r="B178" s="10">
        <f>(+B164-B172)*DivBR</f>
        <v>0</v>
      </c>
      <c r="H178" s="5"/>
    </row>
    <row r="179" spans="1:8">
      <c r="A179" s="9">
        <f>DivHR</f>
        <v>0.33750000000000002</v>
      </c>
      <c r="B179" s="10">
        <f>(+B165-B173)*DivHR</f>
        <v>0</v>
      </c>
      <c r="H179" s="1"/>
    </row>
    <row r="180" spans="1:8">
      <c r="A180" s="9">
        <f>DivAR</f>
        <v>0.39350000000000002</v>
      </c>
      <c r="B180" s="10">
        <f>+(B166-B174)*DivAR</f>
        <v>0</v>
      </c>
      <c r="H180" s="1"/>
    </row>
    <row r="181" spans="1:8">
      <c r="H181" s="1"/>
    </row>
    <row r="182" spans="1:8">
      <c r="A182" s="2" t="s">
        <v>142</v>
      </c>
      <c r="B182" s="10">
        <f>SUM(B178:B181)</f>
        <v>0</v>
      </c>
      <c r="H182" s="1"/>
    </row>
    <row r="183" spans="1:8">
      <c r="H183" s="4"/>
    </row>
    <row r="184" spans="1:8">
      <c r="H184" s="4"/>
    </row>
    <row r="185" spans="1:8">
      <c r="A185" s="15" t="s">
        <v>143</v>
      </c>
      <c r="H185" s="4"/>
    </row>
    <row r="186" spans="1:8">
      <c r="H186" s="4"/>
    </row>
    <row r="187" spans="1:8">
      <c r="A187" s="2" t="s">
        <v>144</v>
      </c>
      <c r="B187" s="10">
        <f>+B105</f>
        <v>0</v>
      </c>
      <c r="H187" s="4"/>
    </row>
    <row r="188" spans="1:8">
      <c r="A188" s="2" t="s">
        <v>135</v>
      </c>
      <c r="B188" s="10">
        <f>+B86</f>
        <v>0</v>
      </c>
      <c r="H188" s="3"/>
    </row>
    <row r="189" spans="1:8">
      <c r="A189" s="2" t="s">
        <v>113</v>
      </c>
      <c r="B189" s="10">
        <f>+B97</f>
        <v>12570</v>
      </c>
      <c r="H189" s="3"/>
    </row>
    <row r="190" spans="1:8">
      <c r="A190" s="2" t="s">
        <v>145</v>
      </c>
      <c r="B190" s="10">
        <f>+Divallce</f>
        <v>500</v>
      </c>
      <c r="H190" s="1"/>
    </row>
    <row r="191" spans="1:8">
      <c r="H191" s="1"/>
    </row>
    <row r="192" spans="1:8">
      <c r="A192" s="2" t="s">
        <v>146</v>
      </c>
      <c r="H192" s="1"/>
    </row>
    <row r="193" spans="1:8">
      <c r="A193" s="2" t="s">
        <v>147</v>
      </c>
      <c r="B193" s="10">
        <f>IF(B188-B190&lt;0,B188,+B188-B190)</f>
        <v>0</v>
      </c>
      <c r="H193" s="3"/>
    </row>
    <row r="194" spans="1:8">
      <c r="A194" s="2" t="s">
        <v>148</v>
      </c>
      <c r="B194" s="10">
        <f>IF(B193&gt;B189,B189,B193)</f>
        <v>0</v>
      </c>
      <c r="H194" s="3"/>
    </row>
    <row r="195" spans="1:8">
      <c r="H195" s="1"/>
    </row>
    <row r="196" spans="1:8">
      <c r="A196" s="2" t="s">
        <v>149</v>
      </c>
      <c r="H196" s="3"/>
    </row>
    <row r="197" spans="1:8">
      <c r="H197" s="1"/>
    </row>
    <row r="198" spans="1:8">
      <c r="A198" s="2" t="s">
        <v>150</v>
      </c>
      <c r="B198" s="10">
        <f>+B117</f>
        <v>0</v>
      </c>
      <c r="H198" s="1"/>
    </row>
    <row r="199" spans="1:8">
      <c r="A199" s="2" t="s">
        <v>113</v>
      </c>
      <c r="B199" s="10">
        <f>-B189</f>
        <v>-12570</v>
      </c>
      <c r="H199" s="3"/>
    </row>
    <row r="200" spans="1:8">
      <c r="A200" s="2" t="s">
        <v>151</v>
      </c>
      <c r="B200" s="10">
        <f>+B194</f>
        <v>0</v>
      </c>
      <c r="H200" s="3"/>
    </row>
    <row r="201" spans="1:8">
      <c r="A201" s="2" t="s">
        <v>152</v>
      </c>
      <c r="B201" s="2">
        <f>+B200+B199+B198</f>
        <v>-12570</v>
      </c>
      <c r="H201" s="1"/>
    </row>
    <row r="202" spans="1:8">
      <c r="A202" s="2" t="s">
        <v>153</v>
      </c>
      <c r="B202" s="10">
        <f>+BRB+B57</f>
        <v>37700</v>
      </c>
      <c r="H202" s="4"/>
    </row>
    <row r="203" spans="1:8">
      <c r="A203" s="2" t="s">
        <v>154</v>
      </c>
      <c r="B203" s="10">
        <f>IF(B201&gt;B202,+B201-B202,0)</f>
        <v>0</v>
      </c>
      <c r="H203" s="4"/>
    </row>
    <row r="204" spans="1:8">
      <c r="H204" s="4"/>
    </row>
    <row r="205" spans="1:8">
      <c r="A205" s="2" t="s">
        <v>155</v>
      </c>
      <c r="B205" s="10">
        <f>IF(B203&gt;B194,0,B194-B203)</f>
        <v>0</v>
      </c>
      <c r="H205" s="5"/>
    </row>
    <row r="206" spans="1:8">
      <c r="H206" s="1"/>
    </row>
    <row r="207" spans="1:8">
      <c r="H207" s="1"/>
    </row>
    <row r="208" spans="1:8">
      <c r="A208" s="2" t="s">
        <v>123</v>
      </c>
      <c r="H208" s="1"/>
    </row>
    <row r="209" spans="1:8">
      <c r="H209" s="1"/>
    </row>
    <row r="210" spans="1:8">
      <c r="A210" s="2" t="s">
        <v>3</v>
      </c>
      <c r="B210" s="10">
        <f>IF(B117&lt;B97-B205,B117,B97-B205)</f>
        <v>0</v>
      </c>
      <c r="H210" s="4"/>
    </row>
    <row r="211" spans="1:8">
      <c r="A211" s="2" t="s">
        <v>13</v>
      </c>
      <c r="B211" s="10">
        <f>IF(B117&lt;(B97+(BRB+B57)),B117-B210,(BRB+B57))</f>
        <v>0</v>
      </c>
      <c r="H211" s="4"/>
    </row>
    <row r="212" spans="1:8">
      <c r="A212" s="2" t="s">
        <v>15</v>
      </c>
      <c r="B212" s="10">
        <f>IF(B117&lt;(B97+(BRB+B57)+HRB),B117-B210-B211,HRB)</f>
        <v>0</v>
      </c>
      <c r="H212" s="4"/>
    </row>
    <row r="213" spans="1:8">
      <c r="A213" s="2" t="s">
        <v>17</v>
      </c>
      <c r="B213" s="10">
        <f>IF(B210+B211+B212&lt;B117,B117-B210-B211-B212,0)</f>
        <v>0</v>
      </c>
      <c r="H213" s="3"/>
    </row>
    <row r="214" spans="1:8">
      <c r="H214" s="3"/>
    </row>
    <row r="215" spans="1:8">
      <c r="A215" s="2" t="s">
        <v>124</v>
      </c>
      <c r="B215" s="10">
        <f>SUM(B210:B214)</f>
        <v>0</v>
      </c>
      <c r="H215" s="1"/>
    </row>
    <row r="216" spans="1:8">
      <c r="H216" s="1"/>
    </row>
    <row r="217" spans="1:8">
      <c r="A217" s="2" t="s">
        <v>125</v>
      </c>
      <c r="H217" s="1"/>
    </row>
    <row r="218" spans="1:8">
      <c r="H218" s="3"/>
    </row>
    <row r="219" spans="1:8">
      <c r="A219" s="7">
        <f>BR</f>
        <v>0.2</v>
      </c>
      <c r="B219" s="10">
        <f>+B211*BR</f>
        <v>0</v>
      </c>
      <c r="H219" s="3"/>
    </row>
    <row r="220" spans="1:8">
      <c r="A220" s="7">
        <f>HR</f>
        <v>0.4</v>
      </c>
      <c r="B220" s="10">
        <f>+B212*HR</f>
        <v>0</v>
      </c>
      <c r="H220" s="1"/>
    </row>
    <row r="221" spans="1:8">
      <c r="A221" s="7">
        <f>AR</f>
        <v>0.45</v>
      </c>
      <c r="B221" s="10">
        <f>+B213*AR</f>
        <v>0</v>
      </c>
      <c r="H221" s="3"/>
    </row>
    <row r="222" spans="1:8">
      <c r="A222" s="7"/>
      <c r="H222" s="1"/>
    </row>
    <row r="223" spans="1:8">
      <c r="A223" s="2" t="s">
        <v>125</v>
      </c>
      <c r="B223" s="10">
        <f>SUM(B219:B221)</f>
        <v>0</v>
      </c>
      <c r="H223" s="1"/>
    </row>
    <row r="224" spans="1:8">
      <c r="H224" s="3"/>
    </row>
    <row r="225" spans="1:8">
      <c r="A225" s="7" t="s">
        <v>126</v>
      </c>
      <c r="H225" s="3"/>
    </row>
    <row r="226" spans="1:8">
      <c r="A226" s="7"/>
      <c r="H226" s="1"/>
    </row>
    <row r="227" spans="1:8">
      <c r="A227" s="7" t="s">
        <v>111</v>
      </c>
      <c r="B227" s="10">
        <f>+B94</f>
        <v>12570</v>
      </c>
      <c r="H227" s="4"/>
    </row>
    <row r="228" spans="1:8">
      <c r="A228" s="7" t="s">
        <v>127</v>
      </c>
      <c r="B228" s="10">
        <f>+B85+B82+B83</f>
        <v>0</v>
      </c>
      <c r="H228" s="4"/>
    </row>
    <row r="229" spans="1:8">
      <c r="A229" s="7" t="s">
        <v>128</v>
      </c>
      <c r="B229" s="10">
        <f>IF(B227-B228&lt;0,0,+B227-B228)</f>
        <v>12570</v>
      </c>
      <c r="H229" s="4"/>
    </row>
    <row r="230" spans="1:8">
      <c r="A230" s="2" t="s">
        <v>129</v>
      </c>
      <c r="B230" s="10">
        <f>+B84</f>
        <v>0</v>
      </c>
      <c r="H230" s="5"/>
    </row>
    <row r="231" spans="1:8">
      <c r="A231" s="2" t="s">
        <v>130</v>
      </c>
      <c r="B231" s="10">
        <f>IF(B230&lt;B229,0,B230-B229)</f>
        <v>0</v>
      </c>
    </row>
    <row r="232" spans="1:8">
      <c r="A232" s="2" t="s">
        <v>119</v>
      </c>
      <c r="B232" s="10">
        <f>+B114</f>
        <v>6000</v>
      </c>
    </row>
    <row r="233" spans="1:8">
      <c r="A233" s="2" t="s">
        <v>131</v>
      </c>
      <c r="B233" s="10">
        <f>IF(B231&gt;B232,B232,B231)</f>
        <v>0</v>
      </c>
    </row>
    <row r="237" spans="1:8">
      <c r="A237" s="2" t="s">
        <v>132</v>
      </c>
    </row>
    <row r="239" spans="1:8">
      <c r="A239" s="2" t="s">
        <v>3</v>
      </c>
      <c r="B239" s="10">
        <f>IF(B210&lt;B97,B97-B210,0)</f>
        <v>12570</v>
      </c>
    </row>
    <row r="240" spans="1:8">
      <c r="A240" s="2" t="s">
        <v>13</v>
      </c>
      <c r="B240" s="10">
        <f>IF(B211&lt;(BRB-B233+B57),(BRB-B233+B57)-B211,0)</f>
        <v>37700</v>
      </c>
    </row>
    <row r="241" spans="1:2">
      <c r="A241" s="2" t="s">
        <v>15</v>
      </c>
      <c r="B241" s="10">
        <f>IF(B212&lt;HRB,HRB-B212,0)</f>
        <v>87440</v>
      </c>
    </row>
    <row r="242" spans="1:2">
      <c r="A242" s="2" t="s">
        <v>17</v>
      </c>
      <c r="B242" s="11" t="s">
        <v>133</v>
      </c>
    </row>
    <row r="244" spans="1:2">
      <c r="A244" s="2" t="s">
        <v>134</v>
      </c>
    </row>
    <row r="246" spans="1:2">
      <c r="A246" s="2" t="s">
        <v>135</v>
      </c>
      <c r="B246" s="10">
        <f>+B55</f>
        <v>0</v>
      </c>
    </row>
    <row r="247" spans="1:2">
      <c r="A247" s="2" t="s">
        <v>136</v>
      </c>
      <c r="B247" s="10">
        <f>Divallce*0</f>
        <v>0</v>
      </c>
    </row>
    <row r="248" spans="1:2">
      <c r="A248" s="2" t="s">
        <v>137</v>
      </c>
      <c r="B248" s="10">
        <f>IF(B246-B247&lt;0,0,B246-B247)</f>
        <v>0</v>
      </c>
    </row>
    <row r="250" spans="1:2">
      <c r="A250" s="2" t="s">
        <v>3</v>
      </c>
      <c r="B250" s="10">
        <f>IF(B248&gt;B239,B239,B248)</f>
        <v>0</v>
      </c>
    </row>
    <row r="251" spans="1:2">
      <c r="A251" s="2" t="s">
        <v>13</v>
      </c>
      <c r="B251" s="10">
        <f>IF(B248-B250&gt;B240,B240,B248-B250)</f>
        <v>0</v>
      </c>
    </row>
    <row r="252" spans="1:2">
      <c r="A252" s="2" t="s">
        <v>15</v>
      </c>
      <c r="B252" s="10">
        <f>IF(B248-B250-B251&gt;B241,B241,B248-B250-B251)</f>
        <v>0</v>
      </c>
    </row>
    <row r="253" spans="1:2">
      <c r="A253" s="2" t="s">
        <v>17</v>
      </c>
      <c r="B253" s="10">
        <f>+B248-SUM(B250:B252)</f>
        <v>0</v>
      </c>
    </row>
    <row r="255" spans="1:2">
      <c r="A255" s="2" t="s">
        <v>138</v>
      </c>
      <c r="B255" s="10">
        <f>SUM(B250:B254)</f>
        <v>0</v>
      </c>
    </row>
    <row r="257" spans="1:2">
      <c r="A257" s="2" t="s">
        <v>139</v>
      </c>
    </row>
    <row r="258" spans="1:2">
      <c r="A258" s="2" t="s">
        <v>140</v>
      </c>
      <c r="B258" s="10">
        <f>IF((B255-B250)&lt;Divallce,B255-B250,Divallce)</f>
        <v>0</v>
      </c>
    </row>
    <row r="259" spans="1:2">
      <c r="A259" s="2" t="s">
        <v>13</v>
      </c>
      <c r="B259" s="10">
        <f>IF(B258&lt;B251,B258,B251)</f>
        <v>0</v>
      </c>
    </row>
    <row r="260" spans="1:2">
      <c r="A260" s="2" t="s">
        <v>15</v>
      </c>
      <c r="B260" s="10">
        <f>IF(B258-B259&gt;B252,B252,B258-B259)</f>
        <v>0</v>
      </c>
    </row>
    <row r="261" spans="1:2">
      <c r="A261" s="2" t="s">
        <v>17</v>
      </c>
      <c r="B261" s="10">
        <f>+B258-B260-B259</f>
        <v>0</v>
      </c>
    </row>
    <row r="263" spans="1:2">
      <c r="A263" s="2" t="s">
        <v>141</v>
      </c>
    </row>
    <row r="265" spans="1:2">
      <c r="A265" s="9">
        <f>DivBR</f>
        <v>8.7499999999999994E-2</v>
      </c>
      <c r="B265" s="10">
        <f>(+B251-B259)*DivBR</f>
        <v>0</v>
      </c>
    </row>
    <row r="266" spans="1:2">
      <c r="A266" s="9">
        <f>DivHR</f>
        <v>0.33750000000000002</v>
      </c>
      <c r="B266" s="10">
        <f>(+B252-B260)*DivHR</f>
        <v>0</v>
      </c>
    </row>
    <row r="267" spans="1:2">
      <c r="A267" s="9">
        <f>DivAR</f>
        <v>0.39350000000000002</v>
      </c>
      <c r="B267" s="10">
        <f>+(B253-B261)*DivAR</f>
        <v>0</v>
      </c>
    </row>
    <row r="269" spans="1:2">
      <c r="A269" s="2" t="s">
        <v>142</v>
      </c>
      <c r="B269" s="10">
        <f>SUM(B265:B268)</f>
        <v>0</v>
      </c>
    </row>
    <row r="271" spans="1:2">
      <c r="A271" s="15" t="s">
        <v>156</v>
      </c>
    </row>
    <row r="273" spans="1:2">
      <c r="A273" s="2" t="s">
        <v>157</v>
      </c>
    </row>
    <row r="274" spans="1:2">
      <c r="A274" s="2" t="s">
        <v>125</v>
      </c>
      <c r="B274" s="10">
        <f>+B136</f>
        <v>0</v>
      </c>
    </row>
    <row r="275" spans="1:2">
      <c r="A275" s="2" t="s">
        <v>141</v>
      </c>
      <c r="B275" s="10">
        <f>+B182</f>
        <v>0</v>
      </c>
    </row>
    <row r="276" spans="1:2">
      <c r="A276" s="2" t="s">
        <v>158</v>
      </c>
      <c r="B276" s="10">
        <f>+B275+B274</f>
        <v>0</v>
      </c>
    </row>
    <row r="277" spans="1:2">
      <c r="A277" s="2" t="s">
        <v>159</v>
      </c>
    </row>
    <row r="278" spans="1:2">
      <c r="A278" s="2" t="s">
        <v>125</v>
      </c>
      <c r="B278" s="10">
        <f>+B223</f>
        <v>0</v>
      </c>
    </row>
    <row r="279" spans="1:2">
      <c r="A279" s="2" t="s">
        <v>141</v>
      </c>
      <c r="B279" s="10">
        <f>+B269</f>
        <v>0</v>
      </c>
    </row>
    <row r="280" spans="1:2">
      <c r="A280" s="2" t="s">
        <v>158</v>
      </c>
      <c r="B280" s="10">
        <f>+B279+B278</f>
        <v>0</v>
      </c>
    </row>
    <row r="281" spans="1:2">
      <c r="A281" s="2" t="s">
        <v>160</v>
      </c>
      <c r="B281" s="16" t="str">
        <f>IF(B280&lt;B276,"revised","normal")</f>
        <v>normal</v>
      </c>
    </row>
    <row r="282" spans="1:2">
      <c r="A282" s="2" t="s">
        <v>125</v>
      </c>
      <c r="B282" s="10">
        <f>IF(B280&lt;B276,B278,B274)</f>
        <v>0</v>
      </c>
    </row>
    <row r="283" spans="1:2">
      <c r="A283" s="2" t="s">
        <v>141</v>
      </c>
      <c r="B283" s="10">
        <f>IF(B280&lt;B276,B279,B275)</f>
        <v>0</v>
      </c>
    </row>
    <row r="285" spans="1:2">
      <c r="A285" s="6" t="s">
        <v>161</v>
      </c>
    </row>
    <row r="287" spans="1:2">
      <c r="A287" s="2" t="s">
        <v>162</v>
      </c>
      <c r="B287" s="10">
        <f>+B82</f>
        <v>0</v>
      </c>
    </row>
    <row r="289" spans="1:2">
      <c r="A289" s="2" t="s">
        <v>163</v>
      </c>
    </row>
    <row r="291" spans="1:2">
      <c r="A291" s="2" t="s">
        <v>164</v>
      </c>
      <c r="B291" s="10">
        <f>IF(B287&lt;Thrd,B287,Thrd)</f>
        <v>0</v>
      </c>
    </row>
    <row r="292" spans="1:2">
      <c r="A292" s="2" t="s">
        <v>165</v>
      </c>
      <c r="B292" s="10">
        <f>IF(B287&lt;Thrd,0,IF(B287&gt;UEL,UEL-Thrd,B287-Thrd))</f>
        <v>0</v>
      </c>
    </row>
    <row r="293" spans="1:2">
      <c r="A293" s="2" t="s">
        <v>166</v>
      </c>
      <c r="B293" s="10">
        <f>IF(B287&lt;UEL,0,B287-UEL)</f>
        <v>0</v>
      </c>
    </row>
    <row r="295" spans="1:2">
      <c r="A295" s="2" t="s">
        <v>167</v>
      </c>
      <c r="B295" s="10">
        <f>SUM(B291:B294)</f>
        <v>0</v>
      </c>
    </row>
    <row r="297" spans="1:2">
      <c r="A297" s="8">
        <f>Ees</f>
        <v>0.08</v>
      </c>
      <c r="B297" s="10">
        <f>+B292*Ees</f>
        <v>0</v>
      </c>
    </row>
    <row r="298" spans="1:2">
      <c r="A298" s="8">
        <f>Additional</f>
        <v>0.02</v>
      </c>
      <c r="B298" s="10">
        <f>+B293*Additional</f>
        <v>0</v>
      </c>
    </row>
    <row r="300" spans="1:2">
      <c r="A300" s="2" t="s">
        <v>168</v>
      </c>
      <c r="B300" s="10">
        <f>SUM(B297:B298)</f>
        <v>0</v>
      </c>
    </row>
    <row r="302" spans="1:2">
      <c r="A302" s="2" t="s">
        <v>169</v>
      </c>
    </row>
    <row r="304" spans="1:2">
      <c r="A304" s="2" t="s">
        <v>170</v>
      </c>
      <c r="B304" s="10">
        <f>IF(B287&lt;ErsThold,B287,ErsThold)</f>
        <v>0</v>
      </c>
    </row>
    <row r="305" spans="1:2">
      <c r="A305" s="2" t="s">
        <v>171</v>
      </c>
      <c r="B305" s="10">
        <f>IF(B287&gt;ErsThold,B287-ErsThold,0)</f>
        <v>0</v>
      </c>
    </row>
    <row r="307" spans="1:2">
      <c r="A307" s="2" t="s">
        <v>172</v>
      </c>
      <c r="B307" s="10">
        <f>SUM(B304:B306)</f>
        <v>0</v>
      </c>
    </row>
    <row r="309" spans="1:2">
      <c r="A309" s="9">
        <f>Ers</f>
        <v>0.13800000000000001</v>
      </c>
      <c r="B309" s="10">
        <f>+B305*Ers</f>
        <v>0</v>
      </c>
    </row>
    <row r="311" spans="1:2">
      <c r="A311" s="6" t="s">
        <v>173</v>
      </c>
    </row>
    <row r="313" spans="1:2">
      <c r="A313" s="2" t="s">
        <v>174</v>
      </c>
      <c r="B313" s="10">
        <f>+B54</f>
        <v>0</v>
      </c>
    </row>
    <row r="314" spans="1:2">
      <c r="A314" s="2" t="s">
        <v>175</v>
      </c>
      <c r="B314" s="10">
        <f>class2spt</f>
        <v>0</v>
      </c>
    </row>
    <row r="315" spans="1:2">
      <c r="A315" s="2" t="s">
        <v>176</v>
      </c>
      <c r="B315" s="10">
        <f>IF(B313&lt;B314,0,52*class2weekly)</f>
        <v>0</v>
      </c>
    </row>
    <row r="317" spans="1:2">
      <c r="A317" s="6" t="s">
        <v>177</v>
      </c>
    </row>
    <row r="319" spans="1:2">
      <c r="A319" s="2" t="s">
        <v>174</v>
      </c>
      <c r="B319" s="10">
        <f>+B54</f>
        <v>0</v>
      </c>
    </row>
    <row r="321" spans="1:2">
      <c r="A321" s="2" t="s">
        <v>178</v>
      </c>
    </row>
    <row r="323" spans="1:2">
      <c r="A323" s="2" t="s">
        <v>179</v>
      </c>
      <c r="B323" s="10">
        <f>IF(B319&lt;Ivlower,B319,Ivlower)</f>
        <v>0</v>
      </c>
    </row>
    <row r="324" spans="1:2">
      <c r="A324" s="2" t="s">
        <v>180</v>
      </c>
      <c r="B324" s="10">
        <f>IF(B319&lt;Ivlower,0,IF(B319&gt;Ivupper,Ivupper-Ivlower,B319-Ivlower))</f>
        <v>0</v>
      </c>
    </row>
    <row r="325" spans="1:2">
      <c r="A325" s="2" t="s">
        <v>39</v>
      </c>
      <c r="B325" s="10">
        <f>IF(B319-B324-B323&gt;0,B319-B323-B324,0)</f>
        <v>0</v>
      </c>
    </row>
    <row r="327" spans="1:2">
      <c r="B327" s="10">
        <f>SUM(B323:B326)</f>
        <v>0</v>
      </c>
    </row>
    <row r="329" spans="1:2">
      <c r="A329" s="2" t="s">
        <v>181</v>
      </c>
    </row>
    <row r="331" spans="1:2">
      <c r="A331" s="9">
        <f>Ivrate</f>
        <v>0.06</v>
      </c>
      <c r="B331" s="10">
        <f>+B324*Ivrate</f>
        <v>0</v>
      </c>
    </row>
    <row r="332" spans="1:2">
      <c r="A332" s="9">
        <f>Ivexcess</f>
        <v>0.02</v>
      </c>
      <c r="B332" s="10">
        <f>+B325*Ivexcess</f>
        <v>0</v>
      </c>
    </row>
    <row r="334" spans="1:2">
      <c r="A334" s="2" t="s">
        <v>182</v>
      </c>
      <c r="B334" s="10">
        <f>SUM(B331:B332)</f>
        <v>0</v>
      </c>
    </row>
    <row r="336" spans="1:2">
      <c r="A336" s="6" t="s">
        <v>183</v>
      </c>
    </row>
    <row r="338" spans="1:2">
      <c r="A338" s="2" t="s">
        <v>83</v>
      </c>
      <c r="B338" s="10">
        <f>+B50</f>
        <v>0</v>
      </c>
    </row>
    <row r="339" spans="1:2">
      <c r="A339" s="2" t="s">
        <v>85</v>
      </c>
      <c r="B339" s="10">
        <f>+B52</f>
        <v>0</v>
      </c>
    </row>
    <row r="340" spans="1:2">
      <c r="A340" s="2" t="s">
        <v>87</v>
      </c>
      <c r="B340" s="10">
        <f>+B54</f>
        <v>0</v>
      </c>
    </row>
    <row r="341" spans="1:2">
      <c r="A341" s="2" t="s">
        <v>88</v>
      </c>
      <c r="B341" s="10">
        <f>+B55</f>
        <v>0</v>
      </c>
    </row>
    <row r="342" spans="1:2">
      <c r="A342" s="2" t="s">
        <v>107</v>
      </c>
      <c r="B342" s="10">
        <f>SUM(B338:B341)</f>
        <v>0</v>
      </c>
    </row>
    <row r="343" spans="1:2">
      <c r="A343" s="2" t="s">
        <v>184</v>
      </c>
      <c r="B343" s="10">
        <f>-B97</f>
        <v>-12570</v>
      </c>
    </row>
    <row r="344" spans="1:2">
      <c r="A344" s="2" t="s">
        <v>185</v>
      </c>
      <c r="B344" s="10">
        <f>IF(+B343+B342&lt;0,0,+B343+B342)</f>
        <v>0</v>
      </c>
    </row>
    <row r="346" spans="1:2">
      <c r="A346" s="2" t="s">
        <v>186</v>
      </c>
      <c r="B346" s="10">
        <f>IF(B344&gt;(BRB+B57),0,(BRB+B57)-B344)</f>
        <v>37700</v>
      </c>
    </row>
    <row r="348" spans="1:2">
      <c r="A348" s="2" t="s">
        <v>187</v>
      </c>
      <c r="B348" s="10">
        <f>+B56</f>
        <v>0</v>
      </c>
    </row>
    <row r="349" spans="1:2">
      <c r="A349" s="2" t="s">
        <v>188</v>
      </c>
      <c r="B349" s="10">
        <f>CGTalce</f>
        <v>3000</v>
      </c>
    </row>
    <row r="350" spans="1:2">
      <c r="A350" s="2" t="s">
        <v>189</v>
      </c>
      <c r="B350" s="10">
        <f>IF(+B348-B349&lt;0,0,+B348-B349)</f>
        <v>0</v>
      </c>
    </row>
    <row r="352" spans="1:2">
      <c r="A352" s="2" t="s">
        <v>190</v>
      </c>
    </row>
    <row r="354" spans="1:2">
      <c r="A354" s="8">
        <f>CGTrate</f>
        <v>0.1</v>
      </c>
      <c r="B354" s="10">
        <f>IF(B350&lt;B346,B350,B346)</f>
        <v>0</v>
      </c>
    </row>
    <row r="355" spans="1:2">
      <c r="A355" s="8">
        <f>CGTrateHR</f>
        <v>0.2</v>
      </c>
      <c r="B355" s="10">
        <f>+B350-B354</f>
        <v>0</v>
      </c>
    </row>
    <row r="357" spans="1:2">
      <c r="A357" s="2" t="s">
        <v>191</v>
      </c>
    </row>
    <row r="359" spans="1:2">
      <c r="A359" s="8">
        <f>CGTrate</f>
        <v>0.1</v>
      </c>
      <c r="B359" s="10">
        <f>+B354*CGTrate</f>
        <v>0</v>
      </c>
    </row>
    <row r="360" spans="1:2">
      <c r="A360" s="8">
        <f>CGTrateHR</f>
        <v>0.2</v>
      </c>
      <c r="B360" s="10">
        <f>+B355*CGTrateHR</f>
        <v>0</v>
      </c>
    </row>
    <row r="362" spans="1:2">
      <c r="A362" s="2" t="s">
        <v>192</v>
      </c>
      <c r="B362" s="10">
        <f>+B360+B359</f>
        <v>0</v>
      </c>
    </row>
    <row r="364" spans="1:2">
      <c r="A364" s="6" t="s">
        <v>193</v>
      </c>
    </row>
    <row r="366" spans="1:2">
      <c r="A366" s="2" t="s">
        <v>91</v>
      </c>
      <c r="B366" s="10">
        <f>+B58</f>
        <v>0</v>
      </c>
    </row>
    <row r="367" spans="1:2">
      <c r="A367" s="2" t="s">
        <v>194</v>
      </c>
      <c r="B367" s="10">
        <f>+B60</f>
        <v>1</v>
      </c>
    </row>
    <row r="369" spans="1:2">
      <c r="A369" s="2" t="s">
        <v>195</v>
      </c>
    </row>
    <row r="370" spans="1:2">
      <c r="A370" s="34" t="s">
        <v>196</v>
      </c>
      <c r="B370" s="10">
        <f>50000/B367</f>
        <v>50000</v>
      </c>
    </row>
    <row r="371" spans="1:2">
      <c r="A371" s="34" t="s">
        <v>197</v>
      </c>
      <c r="B371" s="10" t="s">
        <v>198</v>
      </c>
    </row>
    <row r="372" spans="1:2">
      <c r="A372" s="34" t="s">
        <v>199</v>
      </c>
      <c r="B372" s="10">
        <f>250000/B367</f>
        <v>250000</v>
      </c>
    </row>
    <row r="374" spans="1:2">
      <c r="A374" s="2" t="s">
        <v>200</v>
      </c>
      <c r="B374" s="10">
        <f>IF(B366&lt;B370,B366*Ctsmallco,IF(B366&gt;B372,B366*Ctfull,((B366-B370)*Ctmarginal)+(B370*Ctsmallco)))</f>
        <v>0</v>
      </c>
    </row>
  </sheetData>
  <mergeCells count="1">
    <mergeCell ref="E25:H26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1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8.88671875" defaultRowHeight="12.75"/>
  <cols>
    <col min="1" max="1" width="8.88671875" style="12"/>
    <col min="2" max="2" width="31.77734375" style="12" customWidth="1"/>
    <col min="3" max="16384" width="8.88671875" style="12"/>
  </cols>
  <sheetData>
    <row r="1" spans="1:10" ht="15">
      <c r="A1" s="17" t="s">
        <v>201</v>
      </c>
      <c r="B1" s="18"/>
      <c r="C1" s="18"/>
      <c r="D1" s="18"/>
      <c r="E1" s="18"/>
      <c r="F1" s="18"/>
    </row>
    <row r="2" spans="1:10" ht="15">
      <c r="A2" s="17" t="s">
        <v>202</v>
      </c>
      <c r="B2" s="18"/>
      <c r="C2" s="18"/>
      <c r="D2" s="18"/>
      <c r="E2" s="18"/>
      <c r="F2" s="18"/>
    </row>
    <row r="3" spans="1:10" ht="15">
      <c r="A3" s="17" t="s">
        <v>203</v>
      </c>
      <c r="B3" s="18"/>
      <c r="C3" s="18"/>
      <c r="D3" s="18"/>
      <c r="E3" s="18"/>
      <c r="F3" s="18"/>
    </row>
    <row r="4" spans="1:10" ht="15">
      <c r="A4" s="18"/>
      <c r="B4" s="18"/>
      <c r="C4" s="18"/>
      <c r="D4" s="18"/>
      <c r="E4" s="18"/>
      <c r="F4" s="18"/>
    </row>
    <row r="5" spans="1:10" ht="15">
      <c r="A5" s="19" t="s">
        <v>204</v>
      </c>
      <c r="B5" s="19"/>
      <c r="C5" s="18"/>
      <c r="D5" s="18"/>
      <c r="E5" s="18"/>
      <c r="F5" s="18"/>
    </row>
    <row r="6" spans="1:10" ht="15">
      <c r="A6" s="18"/>
      <c r="B6" s="18"/>
      <c r="C6" s="18"/>
      <c r="D6" s="18"/>
      <c r="E6" s="20" t="s">
        <v>205</v>
      </c>
      <c r="F6" s="20" t="s">
        <v>206</v>
      </c>
    </row>
    <row r="7" spans="1:10" ht="15">
      <c r="A7" s="18"/>
      <c r="B7" s="18"/>
      <c r="C7" s="18"/>
      <c r="D7" s="18"/>
      <c r="E7" s="20"/>
      <c r="F7" s="20"/>
    </row>
    <row r="8" spans="1:10" ht="15">
      <c r="A8" s="17" t="s">
        <v>207</v>
      </c>
      <c r="B8" s="18"/>
      <c r="C8" s="18"/>
      <c r="D8" s="18"/>
      <c r="E8" s="18"/>
      <c r="F8" s="18"/>
    </row>
    <row r="9" spans="1:10" ht="15">
      <c r="A9" s="18"/>
      <c r="B9" s="18"/>
      <c r="C9" s="18"/>
      <c r="D9" s="18"/>
      <c r="E9" s="18"/>
      <c r="F9" s="18"/>
    </row>
    <row r="10" spans="1:10" ht="15">
      <c r="A10" s="18"/>
      <c r="B10" s="21" t="s">
        <v>208</v>
      </c>
      <c r="C10" s="22" t="s">
        <v>209</v>
      </c>
      <c r="D10" s="18"/>
      <c r="E10" s="18"/>
      <c r="F10" s="18"/>
      <c r="J10" s="13"/>
    </row>
    <row r="11" spans="1:10" ht="15">
      <c r="A11" s="18"/>
      <c r="B11" s="23"/>
      <c r="C11" s="18"/>
      <c r="D11" s="18"/>
      <c r="E11" s="18"/>
      <c r="F11" s="18"/>
      <c r="J11" s="13"/>
    </row>
    <row r="12" spans="1:10" ht="15">
      <c r="A12" s="18"/>
      <c r="B12" s="24" t="s">
        <v>210</v>
      </c>
      <c r="C12" s="25">
        <v>0</v>
      </c>
      <c r="D12" s="18"/>
      <c r="E12" s="18"/>
      <c r="F12" s="18"/>
      <c r="J12" s="13"/>
    </row>
    <row r="13" spans="1:10" ht="15">
      <c r="A13" s="18"/>
      <c r="B13" s="24" t="s">
        <v>211</v>
      </c>
      <c r="C13" s="25">
        <v>0</v>
      </c>
      <c r="D13" s="18"/>
      <c r="E13" s="18"/>
      <c r="F13" s="18"/>
      <c r="J13" s="13"/>
    </row>
    <row r="14" spans="1:10" ht="15">
      <c r="A14" s="18"/>
      <c r="B14" s="24" t="s">
        <v>212</v>
      </c>
      <c r="C14" s="26">
        <v>0</v>
      </c>
      <c r="D14" s="18"/>
      <c r="E14" s="18"/>
      <c r="F14" s="18"/>
      <c r="J14" s="13"/>
    </row>
    <row r="15" spans="1:10" ht="15">
      <c r="A15" s="18"/>
      <c r="B15" s="23"/>
      <c r="C15" s="18"/>
      <c r="D15" s="18"/>
      <c r="E15" s="18"/>
      <c r="F15" s="18"/>
      <c r="J15" s="13"/>
    </row>
    <row r="16" spans="1:10" ht="15">
      <c r="A16" s="18"/>
      <c r="B16" s="23" t="s">
        <v>213</v>
      </c>
      <c r="C16" s="27">
        <f>SUM(C12:C14)</f>
        <v>0</v>
      </c>
      <c r="D16" s="18"/>
      <c r="E16" s="18"/>
      <c r="F16" s="18"/>
      <c r="J16" s="13"/>
    </row>
    <row r="17" spans="1:10" ht="15">
      <c r="A17" s="18"/>
      <c r="B17" s="23"/>
      <c r="C17" s="18"/>
      <c r="D17" s="18"/>
      <c r="E17" s="18"/>
      <c r="F17" s="18"/>
      <c r="J17" s="13"/>
    </row>
    <row r="18" spans="1:10" ht="15">
      <c r="A18" s="18"/>
      <c r="B18" s="21" t="s">
        <v>214</v>
      </c>
      <c r="C18" s="18"/>
      <c r="D18" s="18"/>
      <c r="E18" s="18"/>
      <c r="F18" s="18"/>
      <c r="J18" s="13"/>
    </row>
    <row r="19" spans="1:10" ht="15">
      <c r="A19" s="18"/>
      <c r="B19" s="23"/>
      <c r="C19" s="18"/>
      <c r="D19" s="18"/>
      <c r="E19" s="18"/>
      <c r="F19" s="18"/>
      <c r="J19" s="13"/>
    </row>
    <row r="20" spans="1:10" ht="15">
      <c r="A20" s="18"/>
      <c r="B20" s="28" t="s">
        <v>215</v>
      </c>
      <c r="C20" s="25">
        <v>0</v>
      </c>
      <c r="D20" s="18"/>
      <c r="E20" s="18"/>
      <c r="F20" s="18"/>
      <c r="J20" s="13"/>
    </row>
    <row r="21" spans="1:10" ht="15">
      <c r="A21" s="18"/>
      <c r="B21" s="28" t="s">
        <v>216</v>
      </c>
      <c r="C21" s="25">
        <v>0</v>
      </c>
      <c r="D21" s="18"/>
      <c r="E21" s="18"/>
      <c r="F21" s="18"/>
      <c r="J21" s="13"/>
    </row>
    <row r="22" spans="1:10" ht="15">
      <c r="A22" s="18"/>
      <c r="B22" s="28" t="s">
        <v>217</v>
      </c>
      <c r="C22" s="25">
        <v>0</v>
      </c>
      <c r="D22" s="18"/>
      <c r="E22" s="18"/>
      <c r="F22" s="18"/>
      <c r="J22" s="13"/>
    </row>
    <row r="23" spans="1:10" ht="13.5" customHeight="1">
      <c r="A23" s="18"/>
      <c r="B23" s="28" t="s">
        <v>218</v>
      </c>
      <c r="C23" s="25">
        <v>0</v>
      </c>
      <c r="D23" s="18"/>
      <c r="E23" s="18"/>
      <c r="F23" s="18"/>
      <c r="J23" s="13"/>
    </row>
    <row r="24" spans="1:10" ht="15">
      <c r="A24" s="18"/>
      <c r="B24" s="28" t="s">
        <v>219</v>
      </c>
      <c r="C24" s="25">
        <v>0</v>
      </c>
      <c r="D24" s="18"/>
      <c r="E24" s="18"/>
      <c r="F24" s="18"/>
      <c r="J24" s="13"/>
    </row>
    <row r="25" spans="1:10" ht="15">
      <c r="A25" s="18"/>
      <c r="B25" s="28" t="s">
        <v>220</v>
      </c>
      <c r="C25" s="25">
        <v>0</v>
      </c>
      <c r="D25" s="18"/>
      <c r="E25" s="18"/>
      <c r="F25" s="18"/>
      <c r="J25" s="13"/>
    </row>
    <row r="26" spans="1:10" ht="15">
      <c r="A26" s="18"/>
      <c r="B26" s="28" t="s">
        <v>221</v>
      </c>
      <c r="C26" s="25">
        <v>0</v>
      </c>
      <c r="D26" s="18"/>
      <c r="E26" s="18"/>
      <c r="F26" s="18"/>
      <c r="J26" s="13"/>
    </row>
    <row r="27" spans="1:10" ht="15">
      <c r="A27" s="18"/>
      <c r="B27" s="24" t="s">
        <v>222</v>
      </c>
      <c r="C27" s="25">
        <v>0</v>
      </c>
      <c r="D27" s="18"/>
      <c r="E27" s="18"/>
      <c r="F27" s="18"/>
      <c r="J27" s="13"/>
    </row>
    <row r="28" spans="1:10" ht="15">
      <c r="A28" s="18"/>
      <c r="B28" s="28" t="s">
        <v>223</v>
      </c>
      <c r="C28" s="25">
        <v>0</v>
      </c>
      <c r="D28" s="18"/>
      <c r="E28" s="18"/>
      <c r="F28" s="18"/>
      <c r="J28" s="13"/>
    </row>
    <row r="29" spans="1:10" ht="15">
      <c r="A29" s="18"/>
      <c r="B29" s="28" t="s">
        <v>224</v>
      </c>
      <c r="C29" s="25">
        <v>0</v>
      </c>
      <c r="D29" s="18"/>
      <c r="E29" s="18"/>
      <c r="F29" s="18"/>
      <c r="J29" s="13"/>
    </row>
    <row r="30" spans="1:10" ht="15">
      <c r="A30" s="18"/>
      <c r="B30" s="28" t="s">
        <v>225</v>
      </c>
      <c r="C30" s="25">
        <v>0</v>
      </c>
      <c r="D30" s="18"/>
      <c r="E30" s="18"/>
      <c r="F30" s="18"/>
      <c r="J30" s="13"/>
    </row>
    <row r="31" spans="1:10" ht="15">
      <c r="A31" s="18"/>
      <c r="B31" s="28" t="s">
        <v>226</v>
      </c>
      <c r="C31" s="25">
        <v>0</v>
      </c>
      <c r="D31" s="18"/>
      <c r="E31" s="18"/>
      <c r="F31" s="18"/>
      <c r="J31" s="13"/>
    </row>
    <row r="32" spans="1:10" ht="15">
      <c r="A32" s="18"/>
      <c r="B32" s="28" t="s">
        <v>227</v>
      </c>
      <c r="C32" s="25">
        <v>0</v>
      </c>
      <c r="D32" s="18"/>
      <c r="E32" s="18"/>
      <c r="F32" s="18"/>
      <c r="J32" s="13"/>
    </row>
    <row r="33" spans="1:10" ht="15">
      <c r="A33" s="18"/>
      <c r="B33" s="28" t="s">
        <v>228</v>
      </c>
      <c r="C33" s="25">
        <v>0</v>
      </c>
      <c r="D33" s="18"/>
      <c r="E33" s="18"/>
      <c r="F33" s="18"/>
      <c r="J33" s="13"/>
    </row>
    <row r="34" spans="1:10" ht="15">
      <c r="A34" s="18"/>
      <c r="B34" s="28" t="s">
        <v>229</v>
      </c>
      <c r="C34" s="25">
        <v>0</v>
      </c>
      <c r="D34" s="18"/>
      <c r="E34" s="18"/>
      <c r="F34" s="18"/>
      <c r="J34" s="13"/>
    </row>
    <row r="35" spans="1:10" ht="15">
      <c r="A35" s="18"/>
      <c r="B35" s="28" t="s">
        <v>230</v>
      </c>
      <c r="C35" s="25">
        <v>0</v>
      </c>
      <c r="D35" s="18"/>
      <c r="E35" s="18"/>
      <c r="F35" s="18"/>
      <c r="J35" s="13"/>
    </row>
    <row r="36" spans="1:10" ht="15">
      <c r="A36" s="18"/>
      <c r="B36" s="28" t="s">
        <v>231</v>
      </c>
      <c r="C36" s="25">
        <v>0</v>
      </c>
      <c r="D36" s="18"/>
      <c r="E36" s="18"/>
      <c r="F36" s="18"/>
      <c r="J36" s="13"/>
    </row>
    <row r="37" spans="1:10" ht="15">
      <c r="A37" s="18"/>
      <c r="B37" s="28" t="s">
        <v>232</v>
      </c>
      <c r="C37" s="25">
        <v>0</v>
      </c>
      <c r="D37" s="18"/>
      <c r="E37" s="18"/>
      <c r="F37" s="18"/>
      <c r="J37" s="13"/>
    </row>
    <row r="38" spans="1:10" ht="15">
      <c r="A38" s="18"/>
      <c r="B38" s="28" t="s">
        <v>233</v>
      </c>
      <c r="C38" s="26">
        <v>0</v>
      </c>
      <c r="D38" s="18"/>
      <c r="E38" s="18"/>
      <c r="F38" s="18"/>
      <c r="J38" s="13"/>
    </row>
    <row r="39" spans="1:10" ht="15">
      <c r="A39" s="18"/>
      <c r="B39" s="29"/>
      <c r="C39" s="18"/>
      <c r="D39" s="18"/>
      <c r="E39" s="18"/>
      <c r="F39" s="18"/>
      <c r="J39" s="13"/>
    </row>
    <row r="40" spans="1:10" ht="15">
      <c r="A40" s="18"/>
      <c r="B40" s="29" t="s">
        <v>234</v>
      </c>
      <c r="C40" s="27">
        <f>SUM(C20:C38)</f>
        <v>0</v>
      </c>
      <c r="D40" s="18"/>
      <c r="E40" s="18"/>
      <c r="F40" s="18"/>
      <c r="J40" s="13"/>
    </row>
    <row r="41" spans="1:10" ht="15">
      <c r="A41" s="18"/>
      <c r="B41" s="29"/>
      <c r="C41" s="18"/>
      <c r="D41" s="18"/>
      <c r="E41" s="18"/>
      <c r="F41" s="18"/>
      <c r="J41" s="13"/>
    </row>
    <row r="42" spans="1:10" ht="15.75" thickBot="1">
      <c r="A42" s="18"/>
      <c r="B42" s="29" t="s">
        <v>235</v>
      </c>
      <c r="C42" s="30">
        <f>+C16-C40</f>
        <v>0</v>
      </c>
      <c r="D42" s="18"/>
      <c r="E42" s="18">
        <f>+C42</f>
        <v>0</v>
      </c>
      <c r="F42" s="18"/>
      <c r="J42" s="13"/>
    </row>
    <row r="43" spans="1:10" ht="15.75" thickTop="1">
      <c r="A43" s="18"/>
      <c r="B43" s="29"/>
      <c r="C43" s="18"/>
      <c r="D43" s="18"/>
      <c r="E43" s="18"/>
      <c r="F43" s="18"/>
      <c r="J43" s="13"/>
    </row>
    <row r="44" spans="1:10" ht="15">
      <c r="A44" s="17" t="s">
        <v>236</v>
      </c>
      <c r="B44" s="29"/>
      <c r="C44" s="18"/>
      <c r="D44" s="18"/>
      <c r="E44" s="18"/>
      <c r="F44" s="18"/>
      <c r="J44" s="13"/>
    </row>
    <row r="45" spans="1:10" ht="14.25" customHeight="1">
      <c r="A45" s="18"/>
      <c r="B45" s="29"/>
      <c r="C45" s="18"/>
      <c r="D45" s="18"/>
      <c r="E45" s="18"/>
      <c r="F45" s="18"/>
      <c r="J45" s="13"/>
    </row>
    <row r="46" spans="1:10" ht="15">
      <c r="A46" s="18" t="s">
        <v>237</v>
      </c>
      <c r="B46" s="29"/>
      <c r="C46" s="18"/>
      <c r="D46" s="18"/>
      <c r="E46" s="25">
        <v>0</v>
      </c>
      <c r="F46" s="18"/>
      <c r="J46" s="13"/>
    </row>
    <row r="47" spans="1:10" ht="15">
      <c r="A47" s="18" t="s">
        <v>238</v>
      </c>
      <c r="B47" s="29"/>
      <c r="C47" s="18"/>
      <c r="D47" s="18"/>
      <c r="E47" s="18"/>
      <c r="F47" s="25">
        <v>0</v>
      </c>
      <c r="J47" s="13"/>
    </row>
    <row r="48" spans="1:10" ht="15">
      <c r="A48" s="18" t="s">
        <v>239</v>
      </c>
      <c r="B48" s="29"/>
      <c r="C48" s="18"/>
      <c r="D48" s="18"/>
      <c r="E48" s="25">
        <v>0</v>
      </c>
      <c r="F48" s="18"/>
      <c r="J48" s="13"/>
    </row>
    <row r="49" spans="1:10" ht="15">
      <c r="A49" s="18" t="s">
        <v>240</v>
      </c>
      <c r="B49" s="29"/>
      <c r="C49" s="18"/>
      <c r="D49" s="18"/>
      <c r="E49" s="25">
        <v>0</v>
      </c>
      <c r="F49" s="18"/>
      <c r="J49" s="13"/>
    </row>
    <row r="50" spans="1:10" ht="15">
      <c r="A50" s="18" t="s">
        <v>241</v>
      </c>
      <c r="B50" s="29"/>
      <c r="C50" s="18"/>
      <c r="D50" s="18"/>
      <c r="E50" s="26">
        <v>0</v>
      </c>
      <c r="F50" s="27"/>
      <c r="J50" s="13"/>
    </row>
    <row r="51" spans="1:10" ht="15">
      <c r="A51" s="18"/>
      <c r="B51" s="18"/>
      <c r="C51" s="18"/>
      <c r="D51" s="18"/>
      <c r="E51" s="18"/>
      <c r="F51" s="18"/>
      <c r="J51" s="13"/>
    </row>
    <row r="52" spans="1:10" ht="15.75" thickBot="1">
      <c r="A52" s="18" t="s">
        <v>107</v>
      </c>
      <c r="B52" s="18"/>
      <c r="C52" s="18"/>
      <c r="D52" s="18"/>
      <c r="E52" s="18">
        <f>IF(SUM(E8:E51)&lt;0,0,SUM(E8:E51))</f>
        <v>0</v>
      </c>
      <c r="F52" s="30">
        <f>SUM(F8:F51)</f>
        <v>0</v>
      </c>
      <c r="J52" s="13"/>
    </row>
    <row r="53" spans="1:10" ht="15.75" thickTop="1">
      <c r="A53" s="31" t="str">
        <f>IF(SUM(E8:E51)&lt;0,"Unrelieved tax losses - seek advice"," ")</f>
        <v xml:space="preserve"> </v>
      </c>
      <c r="B53" s="18"/>
      <c r="C53" s="18"/>
      <c r="D53" s="18"/>
      <c r="E53" s="18"/>
      <c r="F53" s="18"/>
      <c r="J53" s="13"/>
    </row>
    <row r="54" spans="1:10" ht="15">
      <c r="A54" s="18" t="s">
        <v>242</v>
      </c>
      <c r="B54" s="18"/>
      <c r="C54" s="18"/>
      <c r="D54" s="18"/>
      <c r="E54" s="27">
        <f>PA</f>
        <v>12570</v>
      </c>
      <c r="F54" s="18"/>
      <c r="J54" s="13"/>
    </row>
    <row r="55" spans="1:10" ht="15">
      <c r="A55" s="18"/>
      <c r="B55" s="18"/>
      <c r="C55" s="18"/>
      <c r="D55" s="18"/>
      <c r="E55" s="18"/>
      <c r="F55" s="18"/>
      <c r="J55" s="13"/>
    </row>
    <row r="56" spans="1:10" ht="15.75" thickBot="1">
      <c r="A56" s="18" t="s">
        <v>243</v>
      </c>
      <c r="B56" s="18"/>
      <c r="C56" s="18"/>
      <c r="D56" s="18"/>
      <c r="E56" s="30">
        <f>+E52-E54</f>
        <v>-12570</v>
      </c>
      <c r="F56" s="18"/>
      <c r="J56" s="14"/>
    </row>
    <row r="57" spans="1:10" ht="15.75" thickTop="1">
      <c r="A57" s="18"/>
      <c r="B57" s="18"/>
      <c r="C57" s="18"/>
      <c r="D57" s="18"/>
      <c r="E57" s="18"/>
      <c r="F57" s="18"/>
      <c r="J57" s="13"/>
    </row>
    <row r="58" spans="1:10" ht="15">
      <c r="A58" s="18"/>
      <c r="B58" s="18"/>
      <c r="C58" s="18"/>
      <c r="D58" s="18"/>
      <c r="E58" s="18"/>
      <c r="F58" s="18"/>
      <c r="J58" s="13"/>
    </row>
    <row r="59" spans="1:10" ht="15">
      <c r="A59" s="18" t="s">
        <v>244</v>
      </c>
      <c r="B59" s="18"/>
      <c r="C59" s="18"/>
      <c r="D59" s="18"/>
      <c r="E59" s="25">
        <v>0</v>
      </c>
      <c r="F59" s="18"/>
      <c r="J59" s="13"/>
    </row>
    <row r="60" spans="1:10" ht="15">
      <c r="A60" s="18"/>
      <c r="B60" s="18"/>
      <c r="C60" s="18"/>
      <c r="D60" s="18"/>
      <c r="E60" s="18"/>
      <c r="F60" s="18"/>
      <c r="J60" s="13"/>
    </row>
    <row r="61" spans="1:10" ht="15">
      <c r="A61" s="18" t="s">
        <v>245</v>
      </c>
      <c r="B61" s="18"/>
      <c r="C61" s="18"/>
      <c r="D61" s="18"/>
      <c r="E61" s="18">
        <f>+rates!B66</f>
        <v>0</v>
      </c>
      <c r="F61" s="18"/>
      <c r="J61" s="13"/>
    </row>
    <row r="62" spans="1:10" ht="15">
      <c r="A62" s="18" t="s">
        <v>246</v>
      </c>
      <c r="B62" s="18"/>
      <c r="C62" s="18"/>
      <c r="D62" s="18"/>
      <c r="E62" s="27">
        <f>+F52</f>
        <v>0</v>
      </c>
      <c r="F62" s="18"/>
      <c r="J62" s="13"/>
    </row>
    <row r="63" spans="1:10" ht="15">
      <c r="A63" s="18"/>
      <c r="B63" s="18"/>
      <c r="C63" s="18"/>
      <c r="D63" s="18"/>
      <c r="E63" s="18"/>
      <c r="F63" s="18"/>
      <c r="J63" s="13"/>
    </row>
    <row r="64" spans="1:10" ht="15">
      <c r="A64" s="18"/>
      <c r="B64" s="18"/>
      <c r="C64" s="18"/>
      <c r="D64" s="18"/>
      <c r="E64" s="27">
        <f>+E61-E62</f>
        <v>0</v>
      </c>
      <c r="F64" s="18"/>
      <c r="J64" s="13"/>
    </row>
    <row r="65" spans="1:10" ht="15">
      <c r="A65" s="18"/>
      <c r="B65" s="18"/>
      <c r="C65" s="18"/>
      <c r="D65" s="18"/>
      <c r="E65" s="18"/>
      <c r="F65" s="18"/>
      <c r="J65" s="13"/>
    </row>
    <row r="66" spans="1:10" ht="15">
      <c r="A66" s="18" t="s">
        <v>247</v>
      </c>
      <c r="B66" s="18"/>
      <c r="C66" s="18"/>
      <c r="D66" s="18"/>
      <c r="E66" s="18">
        <f>+rates!B72</f>
        <v>0</v>
      </c>
      <c r="F66" s="18"/>
      <c r="J66" s="13"/>
    </row>
    <row r="67" spans="1:10" ht="15">
      <c r="A67" s="18"/>
      <c r="B67" s="18"/>
      <c r="C67" s="18"/>
      <c r="D67" s="18"/>
      <c r="E67" s="18"/>
      <c r="F67" s="18"/>
      <c r="J67" s="13"/>
    </row>
    <row r="68" spans="1:10" ht="15">
      <c r="A68" s="18" t="s">
        <v>248</v>
      </c>
      <c r="B68" s="18"/>
      <c r="C68" s="18"/>
      <c r="D68" s="18"/>
      <c r="E68" s="27">
        <f>+rates!B73</f>
        <v>0</v>
      </c>
      <c r="F68" s="18"/>
      <c r="J68" s="13"/>
    </row>
    <row r="69" spans="1:10" ht="15">
      <c r="A69" s="18"/>
      <c r="B69" s="18"/>
      <c r="C69" s="18"/>
      <c r="D69" s="18"/>
      <c r="E69" s="18"/>
      <c r="F69" s="18"/>
      <c r="J69" s="13"/>
    </row>
    <row r="70" spans="1:10" ht="15.75" thickBot="1">
      <c r="A70" s="18" t="s">
        <v>249</v>
      </c>
      <c r="B70" s="18"/>
      <c r="C70" s="18"/>
      <c r="D70" s="18"/>
      <c r="E70" s="30">
        <f>+E68+E66+E64</f>
        <v>0</v>
      </c>
      <c r="F70" s="18"/>
    </row>
    <row r="71" spans="1:10" ht="13.5" thickTop="1"/>
  </sheetData>
  <dataValidations count="1">
    <dataValidation type="whole" operator="greaterThanOrEqual" allowBlank="1" showInputMessage="1" showErrorMessage="1" sqref="C12:C14 C20:C38 E46:F50 E59" xr:uid="{00000000-0002-0000-0100-000000000000}">
      <formula1>0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42</vt:i4>
      </vt:variant>
    </vt:vector>
  </HeadingPairs>
  <TitlesOfParts>
    <vt:vector size="44" baseType="lpstr">
      <vt:lpstr>rates</vt:lpstr>
      <vt:lpstr>Tax Calculator</vt:lpstr>
      <vt:lpstr>Abate</vt:lpstr>
      <vt:lpstr>Additional</vt:lpstr>
      <vt:lpstr>AR</vt:lpstr>
      <vt:lpstr>BR</vt:lpstr>
      <vt:lpstr>BRB</vt:lpstr>
      <vt:lpstr>CGTalce</vt:lpstr>
      <vt:lpstr>CGTrate</vt:lpstr>
      <vt:lpstr>CGTrateHR</vt:lpstr>
      <vt:lpstr>CGTrateres</vt:lpstr>
      <vt:lpstr>CGTrateresHR</vt:lpstr>
      <vt:lpstr>class2spt</vt:lpstr>
      <vt:lpstr>class2weekly</vt:lpstr>
      <vt:lpstr>CT_full</vt:lpstr>
      <vt:lpstr>CT_marginal</vt:lpstr>
      <vt:lpstr>CT_smallco</vt:lpstr>
      <vt:lpstr>Ctfull</vt:lpstr>
      <vt:lpstr>Ctmarginal</vt:lpstr>
      <vt:lpstr>Ctsmallco</vt:lpstr>
      <vt:lpstr>Divallce</vt:lpstr>
      <vt:lpstr>DivAR</vt:lpstr>
      <vt:lpstr>DivBR</vt:lpstr>
      <vt:lpstr>DivHR</vt:lpstr>
      <vt:lpstr>DivrateAR</vt:lpstr>
      <vt:lpstr>DivrateHR</vt:lpstr>
      <vt:lpstr>Ees</vt:lpstr>
      <vt:lpstr>empal</vt:lpstr>
      <vt:lpstr>Ers</vt:lpstr>
      <vt:lpstr>ErsThold</vt:lpstr>
      <vt:lpstr>HR</vt:lpstr>
      <vt:lpstr>HRB</vt:lpstr>
      <vt:lpstr>Ivexcess</vt:lpstr>
      <vt:lpstr>Ivlower</vt:lpstr>
      <vt:lpstr>Ivrate</vt:lpstr>
      <vt:lpstr>Ivupper</vt:lpstr>
      <vt:lpstr>LEL</vt:lpstr>
      <vt:lpstr>PA</vt:lpstr>
      <vt:lpstr>savingsallcebr</vt:lpstr>
      <vt:lpstr>savingsallcehr</vt:lpstr>
      <vt:lpstr>savingsallcestarting</vt:lpstr>
      <vt:lpstr>Thrd</vt:lpstr>
      <vt:lpstr>UEL</vt:lpstr>
      <vt:lpstr>visible</vt:lpstr>
    </vt:vector>
  </TitlesOfParts>
  <Manager/>
  <Company>Whitefield Tax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Garbett</dc:creator>
  <cp:keywords/>
  <dc:description/>
  <cp:lastModifiedBy>Jessica Garbett</cp:lastModifiedBy>
  <cp:revision/>
  <dcterms:created xsi:type="dcterms:W3CDTF">2001-03-26T21:28:18Z</dcterms:created>
  <dcterms:modified xsi:type="dcterms:W3CDTF">2025-03-04T14:06:13Z</dcterms:modified>
  <cp:category/>
  <cp:contentStatus/>
</cp:coreProperties>
</file>